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mc:AlternateContent xmlns:mc="http://schemas.openxmlformats.org/markup-compatibility/2006">
    <mc:Choice Requires="x15">
      <x15ac:absPath xmlns:x15ac="http://schemas.microsoft.com/office/spreadsheetml/2010/11/ac" url="D:\TRANSPARENCIA\202505MAY\ART 8, FRACC VI, INC C\"/>
    </mc:Choice>
  </mc:AlternateContent>
  <xr:revisionPtr revIDLastSave="0" documentId="13_ncr:1_{CF220A10-A352-4E3A-87F8-4D6171060B57}" xr6:coauthVersionLast="47" xr6:coauthVersionMax="47" xr10:uidLastSave="{00000000-0000-0000-0000-000000000000}"/>
  <bookViews>
    <workbookView xWindow="480" yWindow="225" windowWidth="20925" windowHeight="15255" firstSheet="1" activeTab="1" xr2:uid="{00000000-000D-0000-FFFF-FFFF00000000}"/>
  </bookViews>
  <sheets>
    <sheet name="OBRA" sheetId="1" state="hidden" r:id="rId1"/>
    <sheet name="ADMININSTRACIÓN DIR - OBRA"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'ADJ-SERV'!$A$6:$AD$872</definedName>
    <definedName name="_xlnm._FilterDatabase" localSheetId="3" hidden="1">ADJUDICACION!$A$6:$AE$893</definedName>
    <definedName name="_xlnm._FilterDatabase" localSheetId="1" hidden="1">'ADMININSTRACIÓN DIR - OBRA'!$A$7:$BJ$904</definedName>
    <definedName name="_xlnm._FilterDatabase" localSheetId="10" hidden="1">GESTIÓN!$B$4:$R$83</definedName>
    <definedName name="_xlnm._FilterDatabase" localSheetId="5" hidden="1">INVITACION!$A$6:$AN$899</definedName>
    <definedName name="_xlnm._FilterDatabase" localSheetId="6" hidden="1">MAQ!$A$6:$S$127</definedName>
    <definedName name="_xlnm._FilterDatabase" localSheetId="0" hidden="1">OBRA!$B$5:$CF$901</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4">'ADJ-SERV'!$A$1:$AD$885</definedName>
    <definedName name="_xlnm.Print_Area" localSheetId="3">ADJUDICACION!$A$1:$AE$905</definedName>
    <definedName name="_xlnm.Print_Area" localSheetId="1">'ADMININSTRACIÓN DIR - OBRA'!$A$1:$BJ$913</definedName>
    <definedName name="_xlnm.Print_Area" localSheetId="5">INVITACION!$A$1:$AO$912</definedName>
    <definedName name="_xlnm.Print_Area" localSheetId="6">MAQ!$A$1:$S$134</definedName>
    <definedName name="_xlnm.Print_Area" localSheetId="0">OBRA!$A$1:$CF$911</definedName>
  </definedNames>
  <calcPr calcId="191029"/>
</workbook>
</file>

<file path=xl/calcChain.xml><?xml version="1.0" encoding="utf-8"?>
<calcChain xmlns="http://schemas.openxmlformats.org/spreadsheetml/2006/main">
  <c r="A854" i="5" l="1"/>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893" i="4"/>
  <c r="X893" i="4"/>
  <c r="S893" i="4"/>
  <c r="R893" i="4"/>
  <c r="Q893" i="4"/>
  <c r="P893" i="4"/>
  <c r="N893" i="4"/>
  <c r="M893" i="4"/>
  <c r="L893" i="4"/>
  <c r="K893" i="4"/>
  <c r="J893" i="4"/>
  <c r="E893" i="4"/>
  <c r="AC892" i="4"/>
  <c r="X892" i="4"/>
  <c r="S892" i="4"/>
  <c r="R892" i="4"/>
  <c r="Q892" i="4"/>
  <c r="P892" i="4"/>
  <c r="N892" i="4"/>
  <c r="M892" i="4"/>
  <c r="L892" i="4"/>
  <c r="K892" i="4"/>
  <c r="J892" i="4"/>
  <c r="E892" i="4"/>
  <c r="AC891" i="4"/>
  <c r="X891" i="4"/>
  <c r="S891" i="4"/>
  <c r="R891" i="4"/>
  <c r="Q891" i="4"/>
  <c r="P891" i="4"/>
  <c r="N891" i="4"/>
  <c r="M891" i="4"/>
  <c r="L891" i="4"/>
  <c r="K891" i="4"/>
  <c r="J891" i="4"/>
  <c r="E891" i="4"/>
  <c r="AC890" i="4"/>
  <c r="X890" i="4"/>
  <c r="S890" i="4"/>
  <c r="R890" i="4"/>
  <c r="Q890" i="4"/>
  <c r="P890" i="4"/>
  <c r="N890" i="4"/>
  <c r="M890" i="4"/>
  <c r="L890" i="4"/>
  <c r="K890" i="4"/>
  <c r="J890" i="4"/>
  <c r="E890" i="4"/>
  <c r="AC889" i="4"/>
  <c r="X889" i="4"/>
  <c r="S889" i="4"/>
  <c r="R889" i="4"/>
  <c r="Q889" i="4"/>
  <c r="P889" i="4"/>
  <c r="N889" i="4"/>
  <c r="M889" i="4"/>
  <c r="L889" i="4"/>
  <c r="K889" i="4"/>
  <c r="J889" i="4"/>
  <c r="E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C893" i="4"/>
  <c r="B893" i="4"/>
  <c r="C892" i="4"/>
  <c r="B892" i="4"/>
  <c r="C891" i="4"/>
  <c r="B891" i="4"/>
  <c r="C890" i="4"/>
  <c r="B890" i="4"/>
  <c r="C889" i="4"/>
  <c r="B889"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AE904" i="6"/>
  <c r="Z904" i="6"/>
  <c r="AB904" i="6" s="1"/>
  <c r="X904" i="6"/>
  <c r="AH904" i="6" s="1"/>
  <c r="V904" i="6"/>
  <c r="U904" i="6"/>
  <c r="T904" i="6"/>
  <c r="S904" i="6"/>
  <c r="P904" i="6"/>
  <c r="Q904" i="6" s="1"/>
  <c r="N904" i="6"/>
  <c r="J904" i="6"/>
  <c r="I904" i="6"/>
  <c r="H904" i="6"/>
  <c r="AE903" i="6"/>
  <c r="Z903" i="6"/>
  <c r="AB903" i="6" s="1"/>
  <c r="X903" i="6"/>
  <c r="AH903" i="6" s="1"/>
  <c r="V903" i="6"/>
  <c r="U903" i="6"/>
  <c r="T903" i="6"/>
  <c r="S903" i="6"/>
  <c r="P903" i="6"/>
  <c r="Q903" i="6" s="1"/>
  <c r="N903" i="6"/>
  <c r="J903" i="6"/>
  <c r="I903" i="6"/>
  <c r="H903" i="6"/>
  <c r="AE902" i="6"/>
  <c r="Z902" i="6"/>
  <c r="AB902" i="6" s="1"/>
  <c r="X902" i="6"/>
  <c r="AH902" i="6" s="1"/>
  <c r="V902" i="6"/>
  <c r="U902" i="6"/>
  <c r="T902" i="6"/>
  <c r="S902" i="6"/>
  <c r="P902" i="6"/>
  <c r="Q902" i="6" s="1"/>
  <c r="N902" i="6"/>
  <c r="J902" i="6"/>
  <c r="I902" i="6"/>
  <c r="H902" i="6"/>
  <c r="AE901" i="6"/>
  <c r="Z901" i="6"/>
  <c r="AB901" i="6" s="1"/>
  <c r="X901" i="6"/>
  <c r="AH901" i="6" s="1"/>
  <c r="V901" i="6"/>
  <c r="U901" i="6"/>
  <c r="T901" i="6"/>
  <c r="S901" i="6"/>
  <c r="P901" i="6"/>
  <c r="Q901" i="6" s="1"/>
  <c r="N901" i="6"/>
  <c r="J901" i="6"/>
  <c r="I901" i="6"/>
  <c r="H901" i="6"/>
  <c r="AE900" i="6"/>
  <c r="Z900" i="6"/>
  <c r="AB900" i="6" s="1"/>
  <c r="X900" i="6"/>
  <c r="AH900" i="6" s="1"/>
  <c r="V900" i="6"/>
  <c r="U900" i="6"/>
  <c r="T900" i="6"/>
  <c r="S900" i="6"/>
  <c r="P900" i="6"/>
  <c r="Q900" i="6" s="1"/>
  <c r="N900" i="6"/>
  <c r="J900" i="6"/>
  <c r="I900" i="6"/>
  <c r="H900" i="6"/>
  <c r="AE899" i="6"/>
  <c r="Z899" i="6"/>
  <c r="AB899" i="6" s="1"/>
  <c r="X899" i="6"/>
  <c r="AH899" i="6" s="1"/>
  <c r="V899" i="6"/>
  <c r="U899" i="6"/>
  <c r="T899" i="6"/>
  <c r="S899" i="6"/>
  <c r="P899" i="6"/>
  <c r="Q899" i="6" s="1"/>
  <c r="N899" i="6"/>
  <c r="J899" i="6"/>
  <c r="I899" i="6"/>
  <c r="H899" i="6"/>
  <c r="AE898" i="6"/>
  <c r="Z898" i="6"/>
  <c r="AB898" i="6" s="1"/>
  <c r="X898" i="6"/>
  <c r="AH898" i="6" s="1"/>
  <c r="V898" i="6"/>
  <c r="U898" i="6"/>
  <c r="T898" i="6"/>
  <c r="S898" i="6"/>
  <c r="P898" i="6"/>
  <c r="Q898" i="6" s="1"/>
  <c r="N898" i="6"/>
  <c r="J898" i="6"/>
  <c r="I898" i="6"/>
  <c r="H898" i="6"/>
  <c r="AE897" i="6"/>
  <c r="Z897" i="6"/>
  <c r="AB897" i="6" s="1"/>
  <c r="X897" i="6"/>
  <c r="AH897" i="6" s="1"/>
  <c r="V897" i="6"/>
  <c r="U897" i="6"/>
  <c r="T897" i="6"/>
  <c r="S897" i="6"/>
  <c r="P897" i="6"/>
  <c r="Q897" i="6" s="1"/>
  <c r="N897" i="6"/>
  <c r="J897" i="6"/>
  <c r="I897" i="6"/>
  <c r="H897" i="6"/>
  <c r="AE896" i="6"/>
  <c r="Z896" i="6"/>
  <c r="AB896" i="6" s="1"/>
  <c r="X896" i="6"/>
  <c r="AH896" i="6" s="1"/>
  <c r="V896" i="6"/>
  <c r="U896" i="6"/>
  <c r="T896" i="6"/>
  <c r="S896" i="6"/>
  <c r="P896" i="6"/>
  <c r="Q896" i="6" s="1"/>
  <c r="N896" i="6"/>
  <c r="J896" i="6"/>
  <c r="I896" i="6"/>
  <c r="H896" i="6"/>
  <c r="AE895" i="6"/>
  <c r="Z895" i="6"/>
  <c r="AB895" i="6" s="1"/>
  <c r="X895" i="6"/>
  <c r="AH895" i="6" s="1"/>
  <c r="V895" i="6"/>
  <c r="U895" i="6"/>
  <c r="T895" i="6"/>
  <c r="S895" i="6"/>
  <c r="P895" i="6"/>
  <c r="Q895" i="6" s="1"/>
  <c r="N895" i="6"/>
  <c r="J895" i="6"/>
  <c r="I895" i="6"/>
  <c r="H895" i="6"/>
  <c r="AE894" i="6"/>
  <c r="Z894" i="6"/>
  <c r="AB894" i="6" s="1"/>
  <c r="X894" i="6"/>
  <c r="AH894" i="6" s="1"/>
  <c r="V894" i="6"/>
  <c r="U894" i="6"/>
  <c r="T894" i="6"/>
  <c r="S894" i="6"/>
  <c r="Q894" i="6"/>
  <c r="P894" i="6"/>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AB888" i="6" s="1"/>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BJ830" i="1" l="1"/>
  <c r="BJ870" i="1" l="1"/>
  <c r="AS869" i="1"/>
  <c r="AS867" i="1"/>
  <c r="AS866" i="1"/>
  <c r="BJ864" i="1"/>
  <c r="AS864" i="1"/>
  <c r="BJ844" i="1" l="1"/>
  <c r="AS844" i="1"/>
  <c r="BJ842" i="1"/>
  <c r="AS842" i="1"/>
  <c r="AS839" i="1" l="1"/>
  <c r="AS838" i="1" l="1"/>
  <c r="AS863" i="1"/>
  <c r="AS862" i="1"/>
  <c r="AS861" i="1"/>
  <c r="AD861" i="1"/>
  <c r="AS860" i="1" l="1"/>
  <c r="BF832" i="6" l="1"/>
  <c r="AY832" i="6"/>
  <c r="AX832" i="6"/>
  <c r="AY831" i="6"/>
  <c r="AX831" i="6"/>
  <c r="AT831" i="6"/>
  <c r="AS859" i="1"/>
  <c r="AS858" i="1"/>
  <c r="AS857" i="1" l="1"/>
  <c r="BJ856" i="1"/>
  <c r="AS856" i="1"/>
  <c r="AS855" i="1"/>
  <c r="AS854" i="1" l="1"/>
  <c r="AS853" i="1"/>
  <c r="AS852" i="1"/>
  <c r="AS851" i="1"/>
  <c r="AS850" i="1"/>
  <c r="AS849" i="1"/>
  <c r="AS848" i="1"/>
  <c r="AS847" i="1"/>
  <c r="AS846" i="1"/>
  <c r="AS845" i="1" l="1"/>
  <c r="BJ843" i="1"/>
  <c r="AS843" i="1"/>
  <c r="BJ841" i="1"/>
  <c r="AS841" i="1"/>
  <c r="BJ825" i="1" l="1"/>
  <c r="AX829" i="6"/>
  <c r="BK829" i="6" s="1"/>
  <c r="AV829" i="6"/>
  <c r="BK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5"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11" i="6"/>
  <c r="V910" i="6"/>
  <c r="AF906" i="6"/>
  <c r="AV592" i="6"/>
  <c r="AV366" i="6"/>
  <c r="AX366" i="6"/>
  <c r="AT365" i="6"/>
  <c r="AX365" i="6"/>
  <c r="L87" i="18"/>
  <c r="AX515" i="6"/>
  <c r="AY515" i="6"/>
  <c r="M64" i="14"/>
  <c r="K64" i="14"/>
  <c r="AT752" i="6"/>
  <c r="AV740" i="6"/>
  <c r="BB533" i="6"/>
  <c r="AV531" i="6"/>
  <c r="AT531" i="6"/>
  <c r="AV576" i="6"/>
  <c r="AY576" i="6"/>
  <c r="AT576" i="6"/>
  <c r="AX576" i="6"/>
  <c r="AX584" i="6"/>
  <c r="AY584" i="6"/>
  <c r="AT570" i="6"/>
  <c r="AX570" i="6"/>
  <c r="AU568" i="6"/>
  <c r="AX568" i="6"/>
  <c r="AT568" i="6"/>
  <c r="BF568" i="6"/>
  <c r="AV568" i="6"/>
  <c r="AX514" i="6"/>
  <c r="AT514" i="6"/>
  <c r="AV513" i="6" l="1"/>
  <c r="AT402" i="6"/>
  <c r="AV401" i="6"/>
  <c r="AX390" i="6"/>
  <c r="AX389" i="6"/>
  <c r="AV390" i="6"/>
  <c r="AT389" i="6"/>
  <c r="AX385" i="6"/>
  <c r="AT385" i="6"/>
  <c r="AV385" i="6"/>
  <c r="BA655" i="6"/>
  <c r="AY655" i="6"/>
  <c r="AX655" i="6"/>
  <c r="AT655" i="6"/>
  <c r="AV655" i="6"/>
  <c r="AX650" i="6"/>
  <c r="AZ650" i="6"/>
  <c r="AV650" i="6"/>
  <c r="BB650" i="6"/>
  <c r="AT650" i="6"/>
  <c r="AV751" i="6"/>
  <c r="AT751" i="6"/>
  <c r="AT750" i="6"/>
  <c r="AV750" i="6"/>
  <c r="AT742" i="6"/>
  <c r="AV742" i="6"/>
  <c r="AX732" i="6"/>
  <c r="AW732" i="6"/>
  <c r="AT732" i="6"/>
  <c r="AV732" i="6"/>
  <c r="AV730" i="6"/>
  <c r="AT840" i="6"/>
  <c r="AV840" i="6"/>
  <c r="AY760" i="6"/>
  <c r="BA760" i="6"/>
  <c r="AD910" i="6" s="1"/>
  <c r="AD911"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E911" i="6"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F599" i="1"/>
  <c r="BJ599" i="1"/>
  <c r="BJ647" i="1"/>
  <c r="BJ640" i="1"/>
  <c r="BJ641" i="1"/>
  <c r="BJ642" i="1"/>
  <c r="BJ639" i="1"/>
  <c r="BJ637" i="1"/>
  <c r="BJ638" i="1"/>
  <c r="BJ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11"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06" i="6" l="1"/>
  <c r="AH363" i="6"/>
  <c r="Q533" i="6"/>
  <c r="AT533" i="6"/>
  <c r="AV533" i="6" s="1"/>
  <c r="X353" i="6"/>
  <c r="X354" i="6"/>
  <c r="Q433" i="6"/>
  <c r="Q358" i="6"/>
  <c r="Q348" i="6"/>
  <c r="AH395" i="6"/>
  <c r="BK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0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<sst xmlns="http://schemas.openxmlformats.org/spreadsheetml/2006/main" count="51900" uniqueCount="6993">
  <si>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</si>
  <si>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</si>
  <si>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</si>
  <si>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</si>
  <si>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</si>
  <si>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</si>
  <si>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</si>
  <si>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</si>
  <si>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</si>
  <si>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</si>
  <si>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</si>
  <si>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</si>
  <si>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</si>
  <si>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</si>
  <si>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</si>
  <si>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</si>
  <si>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</si>
  <si>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</si>
  <si>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</si>
  <si>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</si>
  <si>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</si>
  <si>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</si>
  <si>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</si>
  <si>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</si>
  <si>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</si>
  <si>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</si>
  <si>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</si>
  <si>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</si>
  <si>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</si>
  <si>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</si>
  <si>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</si>
  <si>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</si>
  <si>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</si>
  <si>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</si>
  <si>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</si>
  <si>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</si>
  <si>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</si>
  <si>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</si>
  <si>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</si>
  <si>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</si>
  <si>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</si>
  <si>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</si>
  <si>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</si>
  <si>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</si>
  <si>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</si>
  <si>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</si>
  <si>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</si>
  <si>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</si>
  <si>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</si>
  <si>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</si>
  <si>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</si>
  <si>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</si>
  <si>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</si>
  <si>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</si>
  <si>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</si>
  <si>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</si>
  <si>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</si>
  <si>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</si>
  <si>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</si>
  <si>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</si>
  <si>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</si>
  <si>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</si>
  <si>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</si>
  <si>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</si>
  <si>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</si>
  <si>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</si>
  <si>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</si>
  <si>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</si>
  <si>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</si>
  <si>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</si>
  <si>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</si>
  <si>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</si>
  <si>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</si>
  <si>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</si>
  <si>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</si>
  <si>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</si>
  <si>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</si>
  <si>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</si>
  <si>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</si>
  <si>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</si>
  <si>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</si>
  <si>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</si>
  <si>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</si>
  <si>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</si>
  <si>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</si>
  <si>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</si>
  <si>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</si>
  <si>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</si>
  <si>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</si>
  <si>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</si>
  <si>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</si>
  <si>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</si>
  <si>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</si>
  <si>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</si>
  <si>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</si>
  <si>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</si>
  <si>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</si>
  <si>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</si>
  <si>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</si>
  <si>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</si>
  <si>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</si>
  <si>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</si>
  <si>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</si>
  <si>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</si>
  <si>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</si>
  <si>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</si>
  <si>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</si>
  <si>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</si>
  <si>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</si>
  <si>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</si>
  <si>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</si>
  <si>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</si>
  <si>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</si>
  <si>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</si>
  <si>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</si>
  <si>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</si>
  <si>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</si>
  <si>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</si>
  <si>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</si>
  <si>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</si>
  <si>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</si>
  <si>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</si>
  <si>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</si>
  <si>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</si>
  <si>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</si>
  <si>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</si>
  <si>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</si>
  <si>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</si>
  <si>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</si>
  <si>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</si>
  <si>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</si>
  <si>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</si>
  <si>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</si>
  <si>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</si>
  <si>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</si>
  <si>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</si>
  <si>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</si>
  <si>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</si>
  <si>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</si>
  <si>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</si>
  <si>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</si>
  <si>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</si>
  <si>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</si>
  <si>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</si>
  <si>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</si>
  <si>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</si>
  <si>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</si>
  <si>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</si>
  <si>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</si>
  <si>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</si>
  <si>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</si>
  <si>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</si>
  <si>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</si>
  <si>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</si>
  <si>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</si>
  <si>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</si>
  <si>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</si>
  <si>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</si>
  <si>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</si>
  <si>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</si>
  <si>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</si>
  <si>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</si>
  <si>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</si>
  <si>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</si>
  <si>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</si>
  <si>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</si>
  <si>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</si>
  <si>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</si>
  <si>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</si>
  <si>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</si>
  <si>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</si>
  <si>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</si>
  <si>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</si>
  <si>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</si>
  <si>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</si>
  <si>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</si>
  <si>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</si>
  <si>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</si>
  <si>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</si>
  <si>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</si>
  <si>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</si>
  <si>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</si>
  <si>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</si>
  <si>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</si>
  <si>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</si>
  <si>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</si>
  <si>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</si>
  <si>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</si>
  <si>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</si>
  <si>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</si>
  <si>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</si>
  <si>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</si>
  <si>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</si>
  <si>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</si>
  <si>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</si>
  <si>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</si>
  <si>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</si>
  <si>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</si>
  <si>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</si>
  <si>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</si>
  <si>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</si>
  <si>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</si>
  <si>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</si>
  <si>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</si>
  <si>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</si>
  <si>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</si>
  <si>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</si>
  <si>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</si>
  <si>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</si>
  <si>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</si>
  <si>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</si>
  <si>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</si>
  <si>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</si>
  <si>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</si>
  <si>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</si>
  <si>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</si>
  <si>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</si>
  <si>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</si>
  <si>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</si>
  <si>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</si>
  <si>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</si>
  <si>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</si>
  <si>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</si>
  <si>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</si>
  <si>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</si>
  <si>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</si>
  <si>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</si>
  <si>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</si>
  <si>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</si>
  <si>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</si>
  <si>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</si>
  <si>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</si>
  <si>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</si>
  <si>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</si>
  <si>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</si>
  <si>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</si>
  <si>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</si>
  <si>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</si>
  <si>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</si>
  <si>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</si>
  <si>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</si>
  <si>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</si>
  <si>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</si>
  <si>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</si>
  <si>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</si>
  <si>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</si>
  <si>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</si>
  <si>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</si>
  <si>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</si>
  <si>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</si>
  <si>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</si>
  <si>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</si>
  <si>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</si>
  <si>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</si>
  <si>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</si>
  <si>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</si>
  <si>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</si>
  <si>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</si>
  <si>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</si>
  <si>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</si>
  <si>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</si>
  <si>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</si>
  <si>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</si>
  <si>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</si>
  <si>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</si>
  <si>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</si>
  <si>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</si>
  <si>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</si>
  <si>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</si>
  <si>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</si>
  <si>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</si>
  <si>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</si>
  <si>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</si>
  <si>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</si>
  <si>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</si>
  <si>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</si>
  <si>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</si>
  <si>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</si>
  <si>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</si>
  <si>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</si>
  <si>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</si>
  <si>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</si>
  <si>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</si>
  <si>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</si>
  <si>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</si>
  <si>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</si>
  <si>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</si>
  <si>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</si>
  <si>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</si>
  <si>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</si>
  <si>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</si>
  <si>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</si>
  <si>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</si>
  <si>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</si>
  <si>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</si>
  <si>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</si>
  <si>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</si>
  <si>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</si>
  <si>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</si>
  <si>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</si>
  <si>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</si>
  <si>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</si>
  <si>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</si>
  <si>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</si>
  <si>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</si>
  <si>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</si>
  <si>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</si>
  <si>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</si>
  <si>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</si>
  <si>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</si>
  <si>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</si>
  <si>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</si>
  <si>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</si>
  <si>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</si>
  <si>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</si>
  <si>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</si>
  <si>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</si>
  <si>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</si>
  <si>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</si>
  <si>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</si>
  <si>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</si>
  <si>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</si>
  <si>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</si>
  <si>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</si>
  <si>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</si>
  <si>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</si>
  <si>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</si>
  <si>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</si>
  <si>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</si>
  <si>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</si>
  <si>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</si>
  <si>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</si>
  <si>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</si>
  <si>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</si>
  <si>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</si>
  <si>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</si>
  <si>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</si>
  <si>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</si>
  <si>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</si>
  <si>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</si>
  <si>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</si>
  <si>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</si>
  <si>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</si>
  <si>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</si>
  <si>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</si>
  <si>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</si>
  <si>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</si>
  <si>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</si>
  <si>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</si>
  <si>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</si>
  <si>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</si>
  <si>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</si>
  <si>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</si>
  <si>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</si>
  <si>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</si>
  <si>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</si>
  <si>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</si>
  <si>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</si>
  <si>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</si>
  <si>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</si>
  <si>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</si>
  <si>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</si>
  <si>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</si>
  <si>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</si>
  <si>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</si>
  <si>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</si>
  <si>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</si>
  <si>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</si>
  <si>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</si>
  <si>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</si>
  <si>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</si>
  <si>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</si>
  <si>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</si>
  <si>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</si>
  <si>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</si>
  <si>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</si>
  <si>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</si>
  <si>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</si>
  <si>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</si>
  <si>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</si>
  <si>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</si>
  <si>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</si>
  <si>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</si>
  <si>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</si>
  <si>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</si>
  <si>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</si>
  <si>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</si>
  <si>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</si>
  <si>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</si>
  <si>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</si>
  <si>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</si>
  <si>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</si>
  <si>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</si>
  <si>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</si>
  <si>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</si>
  <si>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</si>
  <si>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</si>
  <si>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</si>
  <si>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</si>
  <si>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</si>
  <si>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</si>
  <si>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</si>
  <si>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</si>
  <si>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</si>
  <si>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</si>
  <si>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</si>
  <si>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</si>
  <si>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</si>
  <si>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</si>
  <si>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</si>
  <si>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</si>
  <si>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</si>
  <si>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</si>
  <si>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</si>
  <si>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</si>
  <si>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</si>
  <si>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</si>
  <si>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</si>
  <si>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</si>
  <si>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</si>
  <si>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</si>
  <si>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</si>
  <si>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</si>
  <si>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</si>
  <si>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</si>
  <si>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</si>
  <si>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</si>
  <si>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</si>
  <si>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</si>
  <si>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</si>
  <si>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</si>
  <si>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</si>
  <si>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</si>
  <si>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</si>
  <si>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</si>
  <si>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</si>
  <si>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</si>
  <si>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</si>
  <si>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</si>
  <si>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</si>
  <si>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</si>
  <si>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</si>
  <si>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</si>
  <si>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</si>
  <si>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</si>
  <si>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</si>
  <si>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</si>
  <si>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</si>
  <si>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</si>
  <si>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</si>
  <si>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</si>
  <si>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</si>
  <si>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</si>
  <si>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</si>
  <si>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</si>
  <si>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</si>
  <si>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</si>
  <si>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</si>
  <si>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</si>
  <si>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</si>
  <si>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</si>
  <si>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</si>
  <si>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</si>
  <si>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</si>
  <si>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</si>
  <si>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</si>
  <si>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</si>
  <si>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</si>
  <si>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</si>
  <si>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</si>
  <si>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</si>
  <si>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</si>
  <si>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</si>
  <si>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</si>
  <si>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</si>
  <si>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</si>
  <si>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</si>
  <si>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</si>
  <si>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</si>
  <si>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</si>
  <si>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</si>
  <si>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</si>
  <si>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</si>
  <si>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</si>
  <si>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</si>
  <si>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</si>
  <si>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</si>
  <si>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</si>
  <si>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</si>
  <si>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</si>
  <si>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</si>
  <si>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</si>
  <si>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</si>
  <si>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</si>
  <si>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</si>
  <si>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</si>
  <si>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</si>
  <si>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</si>
  <si>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</si>
  <si>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</si>
  <si>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</si>
  <si>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</si>
  <si>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</si>
  <si>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</si>
  <si>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</si>
  <si>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</si>
  <si>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</si>
  <si>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</si>
  <si>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</si>
  <si>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</si>
  <si>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</si>
  <si>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</si>
  <si>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</si>
  <si>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</si>
  <si>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</si>
  <si>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</si>
  <si>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</si>
  <si>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</si>
  <si>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</si>
  <si>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</si>
  <si>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</si>
  <si>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</si>
  <si>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</si>
  <si>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</si>
  <si>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</si>
  <si>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</si>
  <si>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</si>
  <si>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</si>
  <si>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</si>
  <si>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</si>
  <si>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</si>
  <si>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</si>
  <si>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</si>
  <si>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</si>
  <si>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</si>
  <si>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</si>
  <si>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</si>
  <si>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</si>
  <si>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</si>
  <si>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</si>
  <si>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</si>
  <si>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</si>
  <si>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</si>
  <si>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</si>
  <si>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</si>
  <si>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</si>
  <si>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</si>
  <si>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</si>
  <si>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</si>
  <si>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</si>
  <si>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</si>
  <si>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</si>
  <si>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</si>
  <si>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</si>
  <si>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</si>
  <si>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</si>
  <si>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</si>
  <si>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</si>
  <si>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</si>
  <si>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</si>
  <si>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</si>
  <si>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</si>
  <si>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</si>
  <si>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</si>
  <si>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</si>
  <si>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</si>
  <si>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</si>
  <si>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</si>
  <si>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</si>
  <si>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</si>
  <si>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</si>
  <si>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</si>
  <si>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</si>
  <si>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</si>
  <si>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</si>
  <si>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</si>
  <si>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</si>
  <si>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</si>
  <si>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</si>
  <si>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</si>
  <si>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</si>
  <si>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</si>
  <si>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</si>
  <si>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</si>
  <si>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</si>
  <si>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</si>
  <si>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</si>
  <si>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</si>
  <si>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</si>
  <si>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</si>
  <si>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</si>
  <si>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</si>
  <si>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</si>
  <si>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</si>
  <si>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</si>
  <si>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</si>
  <si>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</si>
  <si>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</si>
  <si>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</si>
  <si>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</si>
  <si>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</si>
  <si>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</si>
  <si>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</si>
  <si>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</si>
  <si>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</si>
  <si>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</si>
  <si>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</si>
  <si>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</si>
  <si>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</si>
  <si>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</si>
  <si>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</si>
  <si>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</si>
  <si>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</si>
  <si>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</si>
  <si>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</si>
  <si>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</si>
  <si>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</si>
  <si>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</si>
  <si>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</si>
  <si>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</si>
  <si>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</si>
  <si>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</si>
  <si>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</si>
  <si>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</si>
  <si>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</si>
  <si>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</si>
  <si>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</si>
  <si>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</si>
  <si>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</si>
  <si>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</si>
  <si>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</si>
  <si>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</si>
  <si>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</si>
  <si>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</si>
  <si>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</si>
  <si>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</si>
  <si>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</si>
  <si>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</si>
  <si>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</si>
  <si>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</si>
  <si>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</si>
  <si>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</si>
  <si>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</si>
  <si>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</si>
  <si>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</si>
  <si>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</si>
  <si>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</si>
  <si>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</si>
  <si>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</si>
  <si>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</si>
  <si>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</si>
  <si>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</si>
  <si>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</si>
  <si>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</si>
  <si>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</si>
  <si>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</si>
  <si>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</si>
  <si>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</si>
  <si>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</si>
  <si>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</si>
  <si>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</si>
  <si>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</si>
  <si>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</si>
  <si>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</si>
  <si>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</si>
  <si>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</si>
  <si>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</si>
  <si>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</si>
  <si>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</si>
  <si>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</si>
  <si>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</si>
  <si>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</si>
  <si>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</si>
  <si>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</si>
  <si>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</si>
  <si>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</si>
  <si>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</si>
  <si>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</si>
  <si>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</si>
  <si>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</si>
  <si>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</si>
  <si>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</si>
  <si>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</si>
  <si>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</si>
  <si>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</si>
  <si>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</si>
  <si>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</si>
  <si>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</si>
  <si>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</si>
  <si>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</si>
  <si>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</si>
  <si>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</si>
  <si>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</si>
  <si>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</si>
  <si>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</si>
  <si>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</si>
  <si>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</si>
  <si>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</si>
  <si>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</si>
  <si>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</si>
  <si>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</si>
  <si>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</si>
  <si>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</si>
  <si>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</si>
  <si>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</si>
  <si>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</si>
  <si>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</si>
  <si>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</si>
  <si>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</si>
  <si>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</si>
  <si>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</si>
  <si>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</si>
  <si>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</si>
  <si>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</si>
  <si>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</si>
  <si>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</si>
  <si>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</si>
  <si>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</si>
  <si>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</si>
  <si>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</si>
  <si>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</si>
  <si>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</si>
  <si>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</si>
  <si>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</si>
  <si>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</si>
  <si>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</si>
  <si>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</si>
  <si>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</si>
  <si>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</si>
  <si>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</si>
  <si>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</si>
  <si>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</si>
  <si>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</si>
  <si>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</si>
  <si>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</si>
  <si>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</si>
  <si>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</si>
  <si>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</si>
  <si>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</si>
  <si>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</si>
  <si>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</si>
  <si>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</si>
  <si>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</si>
  <si>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</si>
  <si>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</si>
  <si>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</si>
  <si>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</si>
  <si>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</si>
  <si>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</si>
  <si>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</si>
  <si>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</si>
  <si>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</si>
  <si>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</si>
  <si>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</si>
  <si>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</si>
  <si>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</si>
  <si>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</si>
  <si>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</si>
  <si>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</si>
  <si>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</si>
  <si>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</si>
  <si>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</si>
  <si>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</si>
  <si>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</si>
  <si>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</si>
  <si>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</si>
  <si>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</si>
  <si>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</si>
  <si>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</si>
  <si>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</si>
  <si>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</si>
  <si>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</si>
  <si>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</si>
  <si>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</si>
  <si>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</si>
  <si>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</si>
  <si>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</si>
  <si>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</si>
  <si>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</si>
  <si>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</si>
  <si>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</si>
  <si>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</si>
  <si>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</si>
  <si>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</si>
  <si>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</si>
  <si>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</si>
  <si>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</si>
  <si>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</si>
  <si>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</si>
  <si>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</si>
  <si>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</si>
  <si>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</si>
  <si>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</si>
  <si>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</si>
  <si>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</si>
  <si>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</si>
  <si>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</si>
  <si>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</si>
  <si>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</si>
  <si>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</si>
  <si>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</si>
  <si>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</si>
  <si>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</si>
  <si>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</si>
  <si>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</si>
  <si>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</si>
  <si>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</si>
  <si>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</si>
  <si>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</si>
  <si>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</si>
  <si>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</si>
  <si>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</si>
  <si>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</si>
  <si>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</si>
  <si>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</si>
  <si>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</si>
  <si>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</si>
  <si>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</si>
  <si>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</si>
  <si>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</si>
  <si>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</si>
  <si>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</si>
  <si>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</si>
  <si>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</si>
  <si>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</si>
  <si>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</si>
  <si>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</si>
  <si>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</si>
  <si>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</si>
  <si>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</si>
  <si>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</si>
  <si>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</si>
  <si>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</si>
  <si>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</si>
  <si>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</si>
  <si>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</si>
  <si>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</si>
  <si>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</si>
  <si>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</si>
  <si>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</si>
  <si>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</si>
  <si>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</si>
  <si>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</si>
  <si>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</si>
  <si>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</si>
  <si>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</si>
  <si>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</si>
  <si>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</si>
  <si>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</si>
  <si>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</si>
  <si>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</si>
  <si>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</si>
  <si>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</si>
  <si>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</si>
  <si>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</si>
  <si>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</si>
  <si>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</si>
  <si>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</si>
  <si>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</si>
  <si>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</si>
  <si>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</si>
  <si>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</si>
  <si>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</si>
  <si>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</si>
  <si>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</si>
  <si>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</si>
  <si>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</si>
  <si>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</si>
  <si>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</si>
  <si>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</si>
  <si>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</si>
  <si>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</si>
  <si>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</si>
  <si>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</si>
  <si>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</si>
  <si>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</si>
  <si>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</si>
  <si>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</si>
  <si>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</si>
  <si>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</si>
  <si>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</si>
  <si>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</si>
  <si>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</si>
  <si>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</si>
  <si>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</si>
  <si>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</si>
  <si>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</si>
  <si>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</si>
  <si>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</si>
  <si>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</si>
  <si>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</si>
  <si>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</si>
  <si>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</si>
  <si>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</si>
  <si>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</si>
  <si>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</si>
  <si>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</si>
  <si>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</si>
  <si>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</si>
  <si>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</si>
  <si>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</si>
  <si>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</si>
  <si>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</si>
  <si>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</si>
  <si>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</si>
  <si>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</si>
  <si>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</si>
  <si>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</si>
  <si>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</si>
  <si>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</si>
  <si>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</si>
  <si>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</si>
  <si>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</si>
  <si>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</si>
  <si>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</si>
  <si>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</si>
  <si>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</si>
  <si>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</si>
  <si>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</si>
  <si>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</si>
  <si>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</si>
  <si>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</si>
  <si>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</si>
  <si>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</si>
  <si>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</si>
  <si>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</si>
  <si>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</si>
  <si>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</si>
  <si>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</si>
  <si>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</si>
  <si>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</si>
  <si>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</si>
  <si>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</si>
  <si>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</si>
  <si>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</si>
  <si>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</si>
  <si>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</si>
  <si>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</si>
  <si>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</si>
  <si>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</si>
  <si>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</si>
  <si>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</si>
  <si>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</si>
  <si>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</si>
  <si>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</si>
  <si>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</si>
  <si>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</si>
  <si>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</si>
  <si>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</si>
  <si>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</si>
  <si>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</si>
  <si>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</si>
  <si>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</si>
  <si>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</si>
  <si>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</si>
  <si>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</si>
  <si>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</si>
  <si>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</si>
  <si>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</si>
  <si>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</si>
  <si>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</si>
  <si>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</si>
  <si>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</si>
  <si>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</si>
  <si>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</si>
  <si>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</si>
  <si>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</si>
  <si>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</si>
  <si>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</si>
  <si>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</si>
  <si>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</si>
  <si>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</si>
  <si>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</si>
  <si>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</si>
  <si>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</si>
  <si>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</si>
  <si>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</si>
  <si>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</si>
  <si>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</si>
  <si>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</si>
  <si>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</si>
  <si>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</si>
  <si>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</si>
  <si>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</si>
  <si>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</si>
  <si>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</si>
  <si>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</si>
  <si>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</si>
  <si>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</si>
  <si>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</si>
  <si>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</si>
  <si>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</si>
  <si>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</si>
  <si>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</si>
  <si>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</si>
  <si>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</si>
  <si>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</si>
  <si>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</si>
  <si>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</si>
  <si>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</si>
  <si>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</si>
  <si>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</si>
  <si>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</si>
  <si>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</si>
  <si>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</si>
  <si>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</si>
  <si>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</si>
  <si>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</si>
  <si>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</si>
  <si>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</si>
  <si>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</si>
  <si>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</si>
  <si>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</si>
  <si>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</si>
  <si>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</si>
  <si>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</si>
  <si>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</si>
  <si>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</si>
  <si>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</si>
  <si>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</si>
  <si>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</si>
  <si>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</si>
  <si>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</si>
  <si>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</si>
  <si>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</si>
  <si>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</si>
  <si>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</si>
  <si>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</si>
  <si>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</si>
  <si>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</si>
  <si>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</si>
  <si>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</si>
  <si>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</si>
  <si>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</si>
  <si>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</si>
  <si>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</si>
  <si>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</si>
  <si>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</si>
  <si>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</si>
  <si>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</si>
  <si>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</si>
  <si>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</si>
  <si>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</si>
  <si>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</si>
  <si>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</si>
  <si>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</si>
  <si>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</si>
  <si>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</si>
  <si>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</si>
  <si>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</si>
  <si>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</si>
  <si>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</si>
  <si>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</si>
  <si>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</si>
  <si>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</si>
  <si>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</si>
  <si>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</si>
  <si>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</si>
  <si>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</si>
  <si>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</si>
  <si>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</si>
  <si>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</si>
  <si>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</si>
  <si>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</si>
  <si>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</si>
  <si>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</si>
  <si>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</si>
  <si>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</si>
  <si>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</si>
  <si>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</si>
  <si>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</si>
  <si>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</si>
  <si>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</si>
  <si>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</si>
  <si>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</si>
  <si>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</si>
  <si>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</si>
  <si>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</si>
  <si>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</si>
  <si>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</si>
  <si>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</si>
  <si>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</si>
  <si>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</si>
  <si>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</si>
  <si>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</si>
  <si>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</si>
  <si>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</si>
  <si>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</si>
  <si>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</si>
  <si>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</si>
  <si>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</si>
  <si>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</si>
  <si>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</si>
  <si>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</si>
  <si>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</si>
  <si>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</si>
  <si>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</si>
  <si>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</si>
  <si>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</si>
  <si>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</si>
  <si>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</si>
  <si>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</si>
  <si>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</si>
  <si>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</si>
  <si>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</si>
  <si>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</si>
  <si>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</si>
  <si>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</si>
  <si>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</si>
  <si>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</si>
  <si>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</si>
  <si>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</si>
  <si>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</si>
  <si>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</si>
  <si>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</si>
  <si>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</si>
  <si>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</si>
  <si>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</si>
  <si>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</si>
  <si>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</si>
  <si>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</si>
  <si>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</si>
  <si>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</si>
  <si>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</si>
  <si>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</si>
  <si>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</si>
  <si>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</si>
  <si>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</si>
  <si>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</si>
  <si>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</si>
  <si>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</si>
  <si>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</si>
  <si>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</si>
  <si>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</si>
  <si>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</si>
  <si>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</si>
  <si>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</si>
  <si>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</si>
  <si>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</si>
  <si>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</si>
  <si>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</si>
  <si>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</si>
  <si>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</si>
  <si>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</si>
  <si>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</si>
  <si>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</si>
  <si>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</si>
  <si>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</si>
  <si>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</si>
  <si>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</si>
  <si>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</si>
  <si>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</si>
  <si>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</si>
  <si>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</si>
  <si>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</si>
  <si>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</si>
  <si>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</si>
  <si>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</si>
  <si>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</si>
  <si>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</si>
  <si>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</si>
  <si>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</si>
  <si>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</si>
  <si>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</si>
  <si>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</si>
  <si>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</si>
  <si>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</si>
  <si>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</si>
  <si>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</si>
  <si>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</si>
  <si>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</si>
  <si>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</si>
  <si>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</si>
  <si>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</si>
  <si>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</si>
  <si>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</si>
  <si>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</si>
  <si>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</si>
  <si>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</si>
  <si>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</si>
  <si>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</si>
  <si>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</si>
  <si>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</si>
  <si>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</si>
  <si>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</si>
  <si>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</si>
  <si>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</si>
  <si>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</si>
  <si>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</si>
  <si>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</si>
  <si>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</si>
  <si>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</si>
  <si>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</si>
  <si>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</si>
  <si>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</si>
  <si>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</si>
  <si>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</si>
  <si>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</si>
  <si>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</si>
  <si>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</si>
  <si>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</si>
  <si>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</si>
  <si>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</si>
  <si>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</si>
  <si>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</si>
  <si>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</si>
  <si>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</si>
  <si>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</si>
  <si>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</si>
  <si>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</si>
  <si>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</si>
  <si>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</si>
  <si>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</si>
  <si>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</si>
  <si>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</si>
  <si>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</si>
  <si>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</si>
  <si>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</si>
  <si>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</si>
  <si>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</si>
  <si>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</si>
  <si>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</si>
  <si>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</si>
  <si>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</si>
  <si>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</si>
  <si>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</si>
  <si>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</si>
  <si>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</si>
  <si>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</si>
  <si>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</si>
  <si>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</si>
  <si>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</si>
  <si>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</si>
  <si>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</si>
  <si>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</si>
  <si>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</si>
  <si>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</si>
  <si>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</si>
  <si>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</si>
  <si>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</si>
  <si>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</si>
  <si>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</si>
  <si>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</si>
  <si>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</si>
  <si>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</si>
  <si>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</si>
  <si>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</si>
  <si>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</si>
  <si>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</si>
  <si>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</si>
  <si>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</si>
  <si>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</si>
  <si>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</si>
  <si>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</si>
  <si>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</si>
  <si>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</si>
  <si>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</si>
  <si>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</si>
  <si>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</si>
  <si>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</si>
  <si>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</si>
  <si>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</si>
  <si>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</si>
  <si>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</si>
  <si>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</si>
  <si>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</si>
  <si>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</si>
  <si>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</si>
  <si>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</si>
  <si>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</si>
  <si>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</si>
  <si>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</si>
  <si>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</si>
  <si>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</si>
  <si>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</si>
  <si>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</si>
  <si>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</si>
  <si>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</si>
  <si>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</si>
  <si>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</si>
  <si>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</si>
  <si>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</si>
  <si>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</si>
  <si>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</si>
  <si>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</si>
  <si>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</si>
  <si>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</si>
  <si>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</si>
  <si>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</si>
  <si>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</si>
  <si>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</si>
  <si>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</si>
  <si>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</si>
  <si>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</si>
  <si>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</si>
  <si>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</si>
  <si>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</si>
  <si>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</si>
  <si>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</si>
  <si>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</si>
  <si>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</si>
  <si>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</si>
  <si>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</si>
  <si>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</si>
  <si>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</si>
  <si>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</si>
  <si>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</si>
  <si>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</si>
  <si>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</si>
  <si>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</si>
  <si>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</si>
  <si>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</si>
  <si>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</si>
  <si>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</si>
  <si>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</si>
  <si>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</si>
  <si>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</si>
  <si>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</si>
  <si>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</si>
  <si>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</si>
  <si>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</si>
  <si>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</si>
  <si>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</si>
  <si>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</si>
  <si>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</si>
  <si>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</si>
  <si>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</si>
  <si>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</si>
  <si>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</si>
  <si>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</si>
  <si>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</si>
  <si>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</si>
  <si>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</si>
  <si>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</si>
  <si>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</si>
  <si>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</si>
  <si>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</si>
  <si>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</si>
  <si>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</si>
  <si>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</si>
  <si>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</si>
  <si>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</si>
  <si>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</si>
  <si>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</si>
  <si>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</si>
  <si>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</si>
  <si>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</si>
  <si>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</si>
  <si>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</si>
  <si>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</si>
  <si>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</si>
  <si>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</si>
  <si>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</si>
  <si>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</si>
  <si>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</si>
  <si>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</si>
  <si>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</si>
  <si>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</si>
  <si>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</si>
  <si>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</si>
  <si>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</si>
  <si>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</si>
  <si>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</si>
  <si>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</si>
  <si>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</si>
  <si>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</si>
  <si>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</si>
  <si>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</si>
  <si>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</si>
  <si>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</si>
  <si>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</si>
  <si>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</si>
  <si>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</si>
  <si>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</si>
  <si>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</si>
  <si>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</si>
  <si>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</si>
  <si>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</si>
  <si>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</si>
  <si>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</si>
  <si>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</si>
  <si>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</si>
  <si>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</si>
  <si>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</si>
  <si>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</si>
  <si>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</si>
  <si>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</si>
  <si>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</si>
  <si>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</si>
  <si>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</si>
  <si>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</si>
  <si>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</si>
  <si>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</si>
  <si>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</si>
  <si>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</si>
  <si>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</si>
  <si>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</si>
  <si>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</si>
  <si>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</si>
  <si>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</si>
  <si>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</si>
  <si>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</si>
  <si>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</si>
  <si>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</si>
  <si>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</si>
  <si>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</si>
  <si>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</si>
  <si>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</si>
  <si>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</si>
  <si>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</si>
  <si>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</si>
  <si>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</si>
  <si>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</si>
  <si>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</si>
  <si>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</si>
  <si>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</si>
  <si>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</si>
  <si>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</si>
  <si>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</si>
  <si>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</si>
  <si>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</si>
  <si>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</si>
  <si>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</si>
  <si>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</si>
  <si>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</si>
  <si>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</si>
  <si>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</si>
  <si>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</si>
  <si>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</si>
  <si>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</si>
  <si>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</si>
  <si>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</si>
  <si>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</si>
  <si>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</si>
  <si>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</si>
  <si>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</si>
  <si>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</si>
  <si>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</si>
  <si>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</si>
  <si>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</si>
  <si>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</si>
  <si>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</si>
  <si>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</si>
  <si>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</si>
  <si>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</si>
  <si>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</si>
  <si>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</si>
  <si>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</si>
  <si>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</si>
  <si>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</si>
  <si>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</si>
  <si>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</si>
  <si>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</si>
  <si>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</si>
  <si>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</si>
  <si>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</si>
  <si>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</si>
  <si>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</si>
  <si>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</si>
  <si>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</si>
  <si>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</si>
  <si>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</si>
  <si>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</si>
  <si>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</si>
  <si>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</si>
  <si>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</si>
  <si>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</si>
  <si>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</si>
  <si>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</si>
  <si>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</si>
  <si>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</si>
  <si>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</si>
  <si>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</si>
  <si>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</si>
  <si>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</si>
  <si>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</si>
  <si>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</si>
  <si>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</si>
  <si>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</si>
  <si>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</si>
  <si>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</si>
  <si>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</si>
  <si>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</si>
  <si>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</si>
  <si>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</si>
  <si>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</si>
  <si>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</si>
  <si>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</si>
  <si>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</si>
  <si>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</si>
  <si>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</si>
  <si>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</si>
  <si>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</si>
  <si>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</si>
  <si>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</si>
  <si>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</si>
  <si>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</si>
  <si>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</si>
  <si>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</si>
  <si>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</si>
  <si>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</si>
  <si>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</si>
  <si>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</si>
  <si>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</si>
  <si>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</si>
  <si>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</si>
  <si>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</si>
  <si>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</si>
  <si>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</si>
  <si>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</si>
  <si>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</si>
  <si>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</si>
  <si>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</si>
  <si>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</si>
  <si>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</si>
  <si>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</si>
  <si>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</si>
  <si>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</si>
  <si>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</si>
  <si>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</si>
  <si>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</si>
  <si>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</si>
  <si>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</si>
  <si>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</si>
  <si>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</si>
  <si>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</si>
  <si>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</si>
  <si>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</si>
  <si>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</si>
  <si>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</si>
  <si>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</si>
  <si>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</si>
  <si>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</si>
  <si>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</si>
  <si>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</si>
  <si>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</si>
  <si>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</si>
  <si>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</si>
  <si>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</si>
  <si>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</si>
  <si>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</si>
  <si>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</si>
  <si>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</si>
  <si>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</si>
  <si>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</si>
  <si>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</si>
  <si>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</si>
  <si>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</si>
  <si>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</si>
  <si>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</si>
  <si>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</si>
  <si>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</si>
  <si>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</si>
  <si>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</si>
  <si>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</si>
  <si>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</si>
  <si>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</si>
  <si>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</si>
  <si>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</si>
  <si>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</si>
  <si>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</si>
  <si>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</si>
  <si>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</si>
  <si>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</si>
  <si>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</si>
  <si>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</si>
  <si>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</si>
  <si>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</si>
  <si>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</si>
  <si>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</si>
  <si>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</si>
  <si>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</si>
  <si>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</si>
  <si>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</si>
  <si>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</si>
  <si>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</si>
  <si>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</si>
  <si>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</si>
  <si>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</si>
  <si>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</si>
  <si>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</si>
  <si>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</si>
  <si>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</si>
  <si>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</si>
  <si>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</si>
  <si>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</si>
  <si>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</si>
  <si>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</si>
  <si>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</si>
  <si>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</si>
  <si>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</si>
  <si>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</si>
  <si>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</si>
  <si>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</si>
  <si>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</si>
  <si>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</si>
  <si>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</si>
  <si>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</si>
  <si>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</si>
  <si>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</si>
  <si>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</si>
  <si>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</si>
  <si>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</si>
  <si>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</si>
  <si>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</si>
  <si>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</si>
  <si>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</si>
  <si>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</si>
  <si>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</si>
  <si>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</si>
  <si>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</si>
  <si>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</si>
  <si>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</si>
  <si>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</si>
  <si>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</si>
  <si>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</si>
  <si>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</si>
  <si>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</si>
  <si>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</si>
  <si>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</si>
  <si>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</si>
  <si>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</si>
  <si>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</si>
  <si>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</si>
  <si>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</si>
  <si>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</si>
  <si>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</si>
  <si>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</si>
  <si>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</si>
  <si>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</si>
  <si>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</si>
  <si>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</si>
  <si>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</si>
  <si>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</si>
  <si>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</si>
  <si>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</si>
  <si>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</si>
  <si>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</si>
  <si>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</si>
  <si>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</si>
  <si>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</si>
  <si>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</si>
  <si>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</si>
  <si>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</si>
  <si>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</si>
  <si>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</si>
  <si>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</si>
  <si>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</si>
  <si>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</si>
  <si>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</si>
  <si>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</si>
  <si>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</si>
  <si>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</si>
  <si>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</si>
  <si>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</si>
  <si>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</si>
  <si>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</si>
  <si>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</si>
  <si>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</si>
  <si>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</si>
  <si>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</si>
  <si>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</si>
  <si>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</si>
  <si>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</si>
  <si>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</si>
  <si>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</si>
  <si>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</si>
  <si>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</si>
  <si>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</si>
  <si>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</si>
  <si>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</si>
  <si>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</si>
  <si>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</si>
  <si>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</si>
  <si>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</si>
  <si>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</si>
  <si>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</si>
  <si>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</si>
  <si>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</si>
  <si>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</si>
  <si>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</si>
  <si>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</si>
  <si>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</si>
  <si>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</si>
  <si>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</si>
  <si>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</si>
  <si>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</si>
  <si>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</si>
  <si>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</si>
  <si>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</si>
  <si>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</si>
  <si>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</si>
  <si>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</si>
  <si>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</si>
  <si>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</si>
  <si>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</si>
  <si>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</si>
  <si>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</si>
  <si>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</si>
  <si>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</si>
  <si>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</si>
  <si>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</si>
  <si>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</si>
  <si>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</si>
  <si>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</si>
  <si>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</si>
  <si>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</si>
  <si>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</si>
  <si>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</si>
  <si>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</si>
  <si>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</si>
  <si>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</si>
  <si>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</si>
  <si>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</si>
  <si>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</si>
  <si>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</si>
  <si>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</si>
  <si>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</si>
  <si>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</si>
  <si>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</si>
  <si>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</si>
  <si>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</si>
  <si>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</si>
  <si>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</si>
  <si>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</si>
  <si>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</si>
  <si>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</si>
  <si>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</si>
  <si>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</si>
  <si>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</si>
  <si>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</si>
  <si>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</si>
  <si>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</si>
  <si>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</si>
  <si>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</si>
  <si>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</si>
  <si>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</si>
  <si>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</si>
  <si>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</si>
  <si>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</si>
  <si>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</si>
  <si>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</si>
  <si>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</si>
  <si>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</si>
  <si>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</si>
  <si>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</si>
  <si>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</si>
  <si>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</si>
  <si>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</si>
  <si>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</si>
  <si>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</si>
  <si>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</si>
  <si>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</si>
  <si>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</si>
  <si>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</si>
  <si>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</si>
  <si>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</si>
  <si>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</si>
  <si>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</si>
  <si>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</si>
  <si>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</si>
  <si>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</si>
  <si>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</si>
  <si>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</si>
  <si>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</si>
  <si>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</si>
  <si>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</si>
  <si>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</si>
  <si>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</si>
  <si>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</si>
  <si>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</si>
  <si>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</si>
  <si>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</si>
  <si>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</si>
  <si>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</si>
  <si>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</si>
  <si>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</si>
  <si>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</si>
  <si>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</si>
  <si>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</si>
  <si>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</si>
  <si>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</si>
  <si>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</si>
  <si>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</si>
  <si>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</si>
  <si>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</si>
  <si>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</si>
  <si>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</si>
  <si>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</si>
  <si>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</si>
  <si>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</si>
  <si>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</si>
  <si>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</si>
  <si>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</si>
  <si>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</si>
  <si>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</si>
  <si>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</si>
  <si>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</si>
  <si>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</si>
  <si>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</si>
  <si>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</si>
  <si>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</si>
  <si>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</si>
  <si>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</si>
  <si>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</si>
  <si>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</si>
  <si>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</si>
  <si>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</si>
  <si>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</si>
  <si>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</si>
  <si>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</si>
  <si>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</si>
  <si>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</si>
  <si>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</si>
  <si>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</si>
  <si>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</si>
  <si>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</si>
  <si>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</si>
  <si>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</si>
  <si>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</si>
  <si>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</si>
  <si>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</si>
  <si>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</si>
  <si>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</si>
  <si>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</si>
  <si>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</si>
  <si>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</si>
  <si>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</si>
  <si>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</si>
  <si>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</si>
  <si>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</si>
  <si>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</si>
  <si>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</si>
  <si>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</si>
  <si>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</si>
  <si>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</si>
  <si>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</si>
  <si>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</si>
  <si>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</si>
  <si>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</si>
  <si>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</si>
  <si>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</si>
  <si>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</si>
  <si>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</si>
  <si>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</si>
  <si>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</si>
  <si>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</si>
  <si>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</si>
  <si>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</si>
  <si>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</si>
  <si>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</si>
  <si>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</si>
  <si>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</si>
  <si>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</si>
  <si>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</si>
  <si>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</si>
  <si>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</si>
  <si>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</si>
  <si>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</si>
  <si>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</si>
  <si>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</si>
  <si>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</si>
  <si>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</si>
  <si>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</si>
  <si>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</si>
  <si>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</si>
  <si>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</si>
  <si>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</si>
  <si>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</si>
  <si>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</si>
  <si>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</si>
  <si>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</si>
  <si>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</si>
  <si>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</si>
  <si>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</si>
  <si>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</si>
  <si>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</si>
  <si>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</si>
  <si>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</si>
  <si>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</si>
  <si>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</si>
  <si>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</si>
  <si>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</si>
  <si>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</si>
  <si>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</si>
  <si>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</si>
  <si>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</si>
  <si>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</si>
  <si>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</si>
  <si>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</si>
  <si>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</si>
  <si>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</si>
  <si>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</si>
  <si>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</si>
  <si>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</si>
  <si>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</si>
  <si>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</si>
  <si>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</si>
  <si>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</si>
  <si>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</si>
  <si>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</si>
  <si>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</si>
  <si>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</si>
  <si>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</si>
  <si>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</si>
  <si>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</si>
  <si>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</si>
  <si>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</si>
  <si>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</si>
  <si>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</si>
  <si>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</si>
  <si>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</si>
  <si>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</si>
  <si>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</si>
  <si>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</si>
  <si>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</si>
  <si>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</si>
  <si>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</si>
  <si>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</si>
  <si>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</si>
  <si>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</si>
  <si>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</si>
  <si>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</si>
  <si>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</si>
  <si>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</si>
  <si>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</si>
  <si>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</si>
  <si>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</si>
  <si>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</si>
  <si>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</si>
  <si>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</si>
  <si>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</si>
  <si>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</si>
  <si>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</si>
  <si>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</si>
  <si>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</si>
  <si>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</si>
  <si>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</si>
  <si>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</si>
  <si>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</si>
  <si>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</si>
  <si>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</si>
  <si>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</si>
  <si>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</si>
  <si>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</si>
  <si>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</si>
  <si>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</si>
  <si>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</si>
  <si>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</si>
  <si>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</si>
  <si>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</si>
  <si>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</si>
  <si>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</si>
  <si>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</si>
  <si>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</si>
  <si>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</si>
  <si>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</si>
  <si>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</si>
  <si>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</si>
  <si>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</si>
  <si>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</si>
  <si>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</si>
  <si>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</si>
  <si>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</si>
  <si>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</si>
  <si>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</si>
  <si>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</si>
  <si>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</si>
  <si>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</si>
  <si>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</si>
  <si>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</si>
  <si>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</si>
  <si>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</si>
  <si>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</si>
  <si>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</si>
  <si>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</si>
  <si>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</si>
  <si>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</si>
  <si>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</si>
  <si>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</si>
  <si>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</si>
  <si>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</si>
  <si>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</si>
  <si>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</si>
  <si>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</si>
  <si>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</si>
  <si>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</si>
  <si>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</si>
  <si>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</si>
  <si>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</si>
  <si>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</si>
  <si>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</si>
  <si>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</si>
  <si>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</si>
  <si>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</si>
  <si>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</si>
  <si>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</si>
  <si>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</si>
  <si>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</si>
  <si>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</si>
  <si>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</si>
  <si>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</si>
  <si>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</si>
  <si>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</si>
  <si>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</si>
  <si>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</si>
  <si>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</si>
  <si>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</si>
  <si>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</si>
  <si>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</si>
  <si>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</si>
  <si>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</si>
  <si>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</si>
  <si>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</si>
  <si>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</si>
  <si>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</si>
  <si>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</si>
  <si>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</si>
  <si>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</si>
  <si>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</si>
  <si>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</si>
  <si>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</si>
  <si>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</si>
  <si>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</si>
  <si>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</si>
  <si>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</si>
  <si>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</si>
  <si>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</si>
  <si>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</si>
  <si>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</si>
  <si>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</si>
  <si>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</si>
  <si>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</si>
  <si>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</si>
  <si>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</si>
  <si>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</si>
  <si>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</si>
  <si>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</si>
  <si>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</si>
  <si>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</si>
  <si>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</si>
  <si>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</si>
  <si>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</si>
  <si>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</si>
  <si>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</si>
  <si>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</si>
  <si>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</si>
  <si>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</si>
  <si>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</si>
  <si>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</si>
  <si>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</si>
  <si>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</si>
  <si>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</si>
  <si>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</si>
  <si>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</si>
  <si>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</si>
  <si>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</si>
  <si>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</si>
  <si>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</si>
  <si>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</si>
  <si>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</si>
  <si>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</si>
  <si>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</si>
  <si>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</si>
  <si>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</si>
  <si>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</si>
  <si>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</si>
  <si>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</si>
  <si>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</si>
  <si>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</si>
  <si>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</si>
  <si>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</si>
  <si>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</si>
  <si>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</si>
  <si>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</si>
  <si>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</si>
  <si>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</si>
  <si>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</si>
  <si>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</si>
  <si>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</si>
  <si>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</si>
  <si>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</si>
  <si>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</si>
  <si>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</si>
  <si>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</si>
  <si>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</si>
  <si>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</si>
  <si>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</si>
  <si>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</si>
  <si>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</si>
  <si>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</si>
  <si>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</si>
  <si>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</si>
  <si>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</si>
  <si>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</si>
  <si>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</si>
  <si>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</si>
  <si>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</si>
  <si>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</si>
  <si>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</si>
  <si>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</si>
  <si>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</si>
  <si>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</si>
  <si>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</si>
  <si>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</si>
  <si>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</si>
  <si>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</si>
  <si>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</si>
  <si>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</si>
  <si>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</si>
  <si>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</si>
  <si>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</si>
  <si>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</si>
  <si>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</si>
  <si>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</si>
  <si>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</si>
  <si>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</si>
  <si>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</si>
  <si>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</si>
  <si>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</si>
  <si>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</si>
  <si>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</si>
  <si>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</si>
  <si>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</si>
  <si>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</si>
  <si>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</si>
  <si>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</si>
  <si>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</si>
  <si>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</si>
  <si>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</si>
  <si>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</si>
  <si>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</si>
  <si>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</si>
  <si>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</si>
  <si>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</si>
  <si>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</si>
  <si>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</si>
  <si>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</si>
  <si>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</si>
  <si>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</si>
  <si>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</si>
  <si>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</si>
  <si>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</si>
  <si>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</si>
  <si>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</si>
  <si>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</si>
  <si>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</si>
  <si>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</si>
  <si>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</si>
  <si>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</si>
  <si>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</si>
  <si>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</si>
  <si>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</si>
  <si>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</si>
  <si>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</si>
  <si>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</si>
  <si>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</si>
  <si>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</si>
  <si>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</si>
  <si>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</si>
  <si>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</si>
  <si>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</si>
  <si>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</si>
  <si>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</si>
  <si>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</si>
  <si>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</si>
  <si>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</si>
  <si>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</si>
  <si>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</si>
  <si>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</si>
  <si>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</si>
  <si>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</si>
  <si>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</si>
  <si>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</si>
  <si>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</si>
  <si>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</si>
  <si>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</si>
  <si>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</si>
  <si>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</si>
  <si>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</si>
  <si>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</si>
  <si>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</si>
  <si>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</si>
  <si>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</si>
  <si>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</si>
  <si>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</si>
  <si>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</si>
  <si>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</si>
  <si>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</si>
  <si>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</si>
  <si>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</si>
  <si>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</si>
  <si>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</si>
  <si>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</si>
  <si>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</si>
  <si>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</si>
  <si>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</si>
  <si>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</si>
  <si>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</si>
  <si>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</si>
  <si>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</si>
  <si>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</si>
  <si>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</si>
  <si>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</si>
  <si>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</si>
  <si>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</si>
  <si>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</si>
  <si>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</si>
  <si>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</si>
  <si>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</si>
  <si>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</si>
  <si>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</si>
  <si>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</si>
  <si>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</si>
  <si>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</si>
  <si>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</si>
  <si>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</si>
  <si>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</si>
  <si>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</si>
  <si>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</si>
  <si>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</si>
  <si>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</si>
  <si>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</si>
  <si>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</si>
  <si>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</si>
  <si>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</si>
  <si>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</si>
  <si>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</si>
  <si>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</si>
  <si>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</si>
  <si>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</si>
  <si>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</si>
  <si>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</si>
  <si>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</si>
  <si>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</si>
  <si>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</si>
  <si>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</si>
  <si>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</si>
  <si>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</si>
  <si>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</si>
  <si>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</si>
  <si>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</si>
  <si>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</si>
  <si>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</si>
  <si>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</si>
  <si>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</si>
  <si>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</si>
  <si>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</si>
  <si>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</si>
  <si>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</si>
  <si>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</si>
  <si>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</si>
  <si>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</si>
  <si>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</si>
  <si>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</si>
  <si>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</si>
  <si>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</si>
  <si>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</si>
  <si>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</si>
  <si>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</si>
  <si>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</si>
  <si>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</si>
  <si>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</si>
  <si>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</si>
  <si>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</si>
  <si>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</si>
  <si>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</si>
  <si>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</si>
  <si>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</si>
  <si>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</si>
  <si>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</si>
  <si>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</si>
  <si>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</si>
  <si>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</si>
  <si>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</si>
  <si>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</si>
  <si>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</si>
  <si>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</si>
  <si>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</si>
  <si>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</si>
  <si>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</si>
  <si>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</si>
  <si>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</si>
  <si>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</si>
  <si>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</si>
  <si>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</si>
  <si>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</si>
  <si>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</si>
  <si>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</si>
  <si>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</si>
  <si>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</si>
  <si>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</si>
  <si>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</si>
  <si>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</si>
  <si>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</si>
  <si>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</si>
  <si>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</si>
  <si>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</si>
  <si>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</si>
  <si>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</si>
  <si>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</si>
  <si>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</si>
  <si>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</si>
  <si>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</si>
  <si>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</si>
  <si>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</si>
  <si>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</si>
  <si>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</si>
  <si>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</si>
  <si>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</si>
  <si>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</si>
  <si>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</si>
  <si>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</si>
  <si>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</si>
  <si>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</si>
  <si>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</si>
  <si>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</si>
  <si>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</si>
  <si>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</si>
  <si>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</si>
  <si>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</si>
  <si>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</si>
  <si>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</si>
  <si>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</si>
  <si>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</si>
  <si>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</si>
  <si>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</si>
  <si>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</si>
  <si>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</si>
  <si>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</si>
  <si>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</si>
  <si>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</si>
  <si>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</si>
  <si>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</si>
  <si>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</si>
  <si>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</si>
  <si>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</si>
  <si>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</si>
  <si>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</si>
  <si>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</si>
  <si>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</si>
  <si>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</si>
  <si>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</si>
  <si>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</si>
  <si>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</si>
  <si>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</si>
  <si>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</si>
  <si>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</si>
  <si>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</si>
  <si>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</si>
  <si>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</si>
  <si>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</si>
  <si>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</si>
  <si>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</si>
  <si>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</si>
  <si>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</si>
  <si>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</si>
  <si>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</si>
  <si>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</si>
  <si>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</si>
  <si>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</si>
  <si>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</si>
  <si>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</si>
  <si>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</si>
  <si>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</si>
  <si>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</si>
  <si>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</si>
  <si>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</si>
  <si>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</si>
  <si>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</si>
  <si>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</si>
  <si>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</si>
  <si>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</si>
  <si>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</si>
  <si>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</si>
  <si>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</si>
  <si>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</si>
  <si>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</si>
  <si>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</si>
  <si>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</si>
  <si>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</si>
  <si>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</si>
  <si>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</si>
  <si>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</si>
  <si>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</si>
  <si>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</si>
  <si>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</si>
  <si>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</si>
  <si>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</si>
  <si>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</si>
  <si>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</si>
  <si>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</si>
  <si>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</si>
  <si>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</si>
  <si>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</si>
  <si>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</si>
  <si>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</si>
  <si>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</si>
  <si>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</si>
  <si>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</si>
  <si>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</si>
  <si>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</si>
  <si>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</si>
  <si>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</si>
  <si>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</si>
  <si>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</si>
  <si>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</si>
  <si>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</si>
  <si>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</si>
  <si>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</si>
  <si>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</si>
  <si>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</si>
  <si>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</si>
  <si>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</si>
  <si>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</si>
  <si>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</si>
  <si>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</si>
  <si>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</si>
  <si>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</si>
  <si>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</si>
  <si>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</si>
  <si>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</si>
  <si>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</si>
  <si>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</si>
  <si>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</si>
  <si>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</si>
  <si>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</si>
  <si>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</si>
  <si>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</si>
  <si>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</si>
  <si>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</si>
  <si>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</si>
  <si>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</si>
  <si>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</si>
  <si>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</si>
  <si>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</si>
  <si>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</si>
  <si>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</si>
  <si>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</si>
  <si>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</si>
  <si>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</si>
  <si>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</si>
  <si>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</si>
  <si>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</si>
  <si>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</si>
  <si>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</si>
  <si>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</si>
  <si>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</si>
  <si>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</si>
  <si>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</si>
  <si>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</si>
  <si>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</si>
  <si>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</si>
  <si>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</si>
  <si>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</si>
  <si>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</si>
  <si>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</si>
  <si>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</si>
  <si>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</si>
  <si>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</si>
  <si>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</si>
  <si>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</si>
  <si>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</si>
  <si>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</si>
  <si>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</si>
  <si>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</si>
  <si>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</si>
  <si>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</si>
  <si>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</si>
  <si>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</si>
  <si>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</si>
  <si>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</si>
  <si>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</si>
  <si>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</si>
  <si>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</si>
  <si>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</si>
  <si>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</si>
  <si>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</si>
  <si>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</si>
  <si>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</si>
  <si>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</si>
  <si>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</si>
  <si>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</si>
  <si>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</si>
  <si>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</si>
  <si>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</si>
  <si>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</si>
  <si>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</si>
  <si>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</si>
  <si>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</si>
  <si>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</si>
  <si>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</si>
  <si>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</si>
  <si>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</si>
  <si>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</si>
  <si>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</si>
  <si>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</si>
  <si>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</si>
  <si>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</si>
  <si>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</si>
  <si>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</si>
  <si>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</si>
  <si>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</si>
  <si>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</si>
  <si>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</si>
  <si>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</si>
  <si>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</si>
  <si>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</si>
  <si>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</si>
  <si>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</si>
  <si>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</si>
  <si>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</si>
  <si>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</si>
  <si>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</si>
  <si>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</si>
  <si>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</si>
  <si>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</si>
  <si>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</si>
  <si>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</si>
  <si>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</si>
  <si>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</si>
  <si>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</si>
  <si>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</si>
  <si>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</si>
  <si>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</si>
  <si>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</si>
  <si>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</si>
  <si>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</si>
  <si>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</si>
  <si>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</si>
  <si>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</si>
  <si>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</si>
  <si>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</si>
  <si>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</si>
  <si>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</si>
  <si>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</si>
  <si>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</si>
  <si>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</si>
  <si>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</si>
  <si>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</si>
  <si>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</si>
  <si>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</si>
  <si>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</si>
  <si>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</si>
  <si>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</si>
  <si>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</si>
  <si>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</si>
  <si>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</si>
  <si>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</si>
  <si>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</si>
  <si>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</si>
  <si>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</si>
  <si>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</si>
  <si>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</si>
  <si>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</si>
  <si>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</si>
  <si>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</si>
  <si>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</si>
  <si>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</si>
  <si>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</si>
  <si>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</si>
  <si>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</si>
  <si>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</si>
  <si>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</si>
  <si>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</si>
  <si>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</si>
  <si>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</si>
  <si>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</si>
  <si>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</si>
  <si>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</si>
  <si>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</si>
  <si>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</si>
  <si>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</si>
  <si>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</si>
  <si>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</si>
  <si>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</si>
  <si>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</si>
  <si>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</si>
  <si>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</si>
  <si>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</si>
  <si>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</si>
  <si>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</si>
  <si>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</si>
  <si>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</si>
  <si>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</si>
  <si>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</si>
  <si>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</si>
  <si>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</si>
  <si>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</si>
  <si>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</si>
  <si>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</si>
  <si>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</si>
  <si>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</si>
  <si>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</si>
  <si>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</si>
  <si>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</si>
  <si>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</si>
  <si>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</si>
  <si>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</si>
  <si>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</si>
  <si>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</si>
  <si>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</si>
  <si>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</si>
  <si>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</si>
  <si>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</si>
  <si>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</si>
  <si>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</si>
  <si>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</si>
  <si>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</si>
  <si>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</si>
  <si>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</si>
  <si>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</si>
  <si>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</si>
  <si>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</si>
  <si>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</si>
  <si>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</si>
  <si>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</si>
  <si>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</si>
  <si>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</si>
  <si>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</si>
  <si>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</si>
  <si>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</si>
  <si>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</si>
  <si>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</si>
  <si>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</si>
  <si>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</si>
  <si>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</si>
  <si>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</si>
  <si>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</si>
  <si>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</si>
  <si>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</si>
  <si>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</si>
  <si>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</si>
  <si>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</si>
  <si>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</si>
  <si>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</si>
  <si>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</si>
  <si>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</si>
  <si>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</si>
  <si>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</si>
  <si>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</si>
  <si>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</si>
  <si>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</si>
  <si>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</si>
  <si>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</si>
  <si>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</si>
  <si>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</si>
  <si>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</si>
  <si>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</si>
  <si>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</si>
  <si>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</si>
  <si>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</si>
  <si>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</si>
  <si>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</si>
  <si>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</si>
  <si>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</si>
  <si>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</si>
  <si>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</si>
  <si>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</si>
  <si>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</si>
  <si>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</si>
  <si>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</si>
  <si>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</si>
  <si>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</si>
  <si>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</si>
  <si>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</si>
  <si>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</si>
  <si>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</si>
  <si>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</si>
  <si>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</si>
  <si>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</si>
  <si>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</si>
  <si>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</si>
  <si>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</si>
  <si>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</si>
  <si>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</si>
  <si>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</si>
  <si>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</si>
  <si>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</si>
  <si>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</si>
  <si>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</si>
  <si>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</si>
  <si>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</si>
  <si>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</si>
  <si>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</si>
  <si>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</si>
  <si>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</si>
  <si>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</si>
  <si>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</si>
  <si>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</si>
  <si>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</si>
  <si>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</si>
  <si>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</si>
  <si>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</si>
  <si>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</si>
  <si>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</si>
  <si>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</si>
  <si>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</si>
  <si>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</si>
  <si>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</si>
  <si>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</si>
  <si>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</si>
  <si>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</si>
  <si>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</si>
  <si>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</si>
  <si>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</si>
  <si>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</si>
  <si>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</si>
  <si>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</si>
  <si>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</si>
  <si>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</si>
  <si>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</si>
  <si>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</si>
  <si>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</si>
  <si>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</si>
  <si>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</si>
  <si>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</si>
  <si>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</si>
  <si>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</si>
  <si>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</si>
  <si>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</si>
  <si>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</si>
  <si>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</si>
  <si>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</si>
  <si>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</si>
  <si>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</si>
  <si>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</si>
  <si>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</si>
  <si>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</si>
  <si>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</si>
  <si>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</si>
  <si>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</si>
  <si>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</si>
  <si>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</si>
  <si>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</si>
  <si>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</si>
  <si>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</si>
  <si>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</si>
  <si>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</si>
  <si>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</si>
  <si>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</si>
  <si>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</si>
  <si>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</si>
  <si>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</si>
  <si>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</si>
  <si>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</si>
  <si>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</si>
  <si>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</si>
  <si>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</si>
  <si>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</si>
  <si>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</si>
  <si>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</si>
  <si>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</si>
  <si>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</si>
  <si>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</si>
  <si>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</si>
  <si>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</si>
  <si>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</si>
  <si>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</si>
  <si>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</si>
  <si>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</si>
  <si>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</si>
  <si>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</si>
  <si>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</si>
  <si>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</si>
  <si>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</si>
  <si>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</si>
  <si>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</si>
  <si>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</si>
  <si>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</si>
  <si>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</si>
  <si>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</si>
  <si>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</si>
  <si>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</si>
  <si>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</si>
  <si>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</si>
  <si>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</si>
  <si>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</si>
  <si>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</si>
  <si>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</si>
  <si>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</si>
  <si>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</si>
  <si>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</si>
  <si>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</si>
  <si>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</si>
  <si>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</si>
  <si>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</si>
  <si>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</si>
  <si>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</si>
  <si>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</si>
  <si>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</si>
  <si>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</si>
  <si>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</si>
  <si>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</si>
  <si>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</si>
  <si>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</si>
  <si>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</si>
  <si>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</si>
  <si>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</si>
  <si>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</si>
  <si>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</si>
  <si>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</si>
  <si>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</si>
  <si>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</si>
  <si>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</si>
  <si>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</si>
  <si>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</si>
  <si>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</si>
  <si>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</si>
  <si>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</si>
  <si>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</si>
  <si>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</si>
  <si>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</si>
  <si>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</si>
  <si>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</si>
  <si>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</si>
  <si>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</si>
  <si>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</si>
  <si>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</si>
  <si>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</si>
  <si>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</si>
  <si>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</si>
  <si>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</si>
  <si>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</si>
  <si>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</si>
  <si>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</si>
  <si>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</si>
  <si>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</si>
  <si>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</si>
  <si>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</si>
  <si>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</si>
  <si>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</si>
  <si>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</si>
  <si>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</si>
  <si>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</si>
  <si>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</si>
  <si>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</si>
  <si>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</si>
  <si>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</si>
  <si>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</si>
  <si>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</si>
  <si>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</si>
  <si>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</si>
  <si>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</si>
  <si>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</si>
  <si>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</si>
  <si>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</si>
  <si>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</si>
  <si>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</si>
  <si>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</si>
  <si>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</si>
  <si>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</si>
  <si>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</si>
  <si>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</si>
  <si>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</si>
  <si>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</si>
  <si>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</si>
  <si>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</si>
  <si>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</si>
  <si>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</si>
  <si>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</si>
  <si>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</si>
  <si>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</si>
  <si>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</si>
  <si>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</si>
  <si>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</si>
  <si>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</si>
  <si>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</si>
  <si>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</si>
  <si>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</si>
  <si>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</si>
  <si>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</si>
  <si>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</si>
  <si>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</si>
  <si>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</si>
  <si>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</si>
  <si>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</si>
  <si>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</si>
  <si>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</si>
  <si>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</si>
  <si>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</si>
  <si>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</si>
  <si>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</si>
  <si>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</si>
  <si>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</si>
  <si>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</si>
  <si>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</si>
  <si>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</si>
  <si>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</si>
  <si>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</si>
  <si>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</si>
  <si>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</si>
  <si>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</si>
  <si>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</si>
  <si>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</si>
  <si>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</si>
  <si>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</si>
  <si>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</si>
  <si>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</si>
  <si>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</si>
  <si>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</si>
  <si>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</si>
  <si>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</si>
  <si>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</si>
  <si>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</si>
  <si>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</si>
  <si>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</si>
  <si>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</si>
  <si>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</si>
  <si>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</si>
  <si>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</si>
  <si>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</si>
  <si>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</si>
  <si>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</si>
  <si>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</si>
  <si>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</si>
  <si>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</si>
  <si>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</si>
  <si>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</si>
  <si>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</si>
  <si>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</si>
  <si>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</si>
  <si>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</si>
  <si>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</si>
  <si>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</si>
  <si>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</si>
  <si>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</si>
  <si>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</si>
  <si>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</si>
  <si>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</si>
  <si>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</si>
  <si>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</si>
  <si>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</si>
  <si>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</si>
  <si>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</si>
  <si>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</si>
  <si>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</si>
  <si>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</si>
  <si>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</si>
  <si>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</si>
  <si>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</si>
  <si>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</si>
  <si>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</si>
  <si>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</si>
  <si>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</si>
  <si>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</si>
  <si>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</si>
  <si>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</si>
  <si>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</si>
  <si>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</si>
  <si>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</si>
  <si>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</si>
  <si>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</si>
  <si>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</si>
  <si>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</si>
  <si>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</si>
  <si>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</si>
  <si>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</si>
  <si>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</si>
  <si>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</si>
  <si>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</si>
  <si>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</si>
  <si>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</si>
  <si>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</si>
  <si>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</si>
  <si>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</si>
  <si>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</si>
  <si>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</si>
  <si>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</si>
  <si>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</si>
  <si>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</si>
  <si>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</si>
  <si>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</si>
  <si>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</si>
  <si>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</si>
  <si>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</si>
  <si>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</si>
  <si>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</si>
  <si>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</si>
  <si>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</si>
  <si>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</si>
  <si>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</si>
  <si>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</si>
  <si>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</si>
  <si>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</si>
  <si>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</si>
  <si>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</si>
  <si>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</si>
  <si>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</si>
  <si>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</si>
  <si>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</si>
  <si>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</si>
  <si>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</si>
  <si>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</si>
  <si>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</si>
  <si>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</si>
  <si>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</si>
  <si>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</si>
  <si>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</si>
  <si>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</si>
  <si>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</si>
  <si>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</si>
  <si>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</si>
  <si>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</si>
  <si>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</si>
  <si>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</si>
  <si>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</si>
  <si>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</si>
  <si>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</si>
  <si>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</si>
  <si>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</si>
  <si>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</si>
  <si>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</si>
  <si>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</si>
  <si>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</si>
  <si>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</si>
  <si>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</si>
  <si>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</si>
  <si>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</si>
  <si>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</si>
  <si>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</si>
  <si>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</si>
  <si>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</si>
  <si>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</si>
  <si>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</si>
  <si>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</si>
  <si>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</si>
  <si>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</si>
  <si>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</si>
  <si>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</si>
  <si>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</si>
  <si>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</si>
  <si>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</si>
  <si>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</si>
  <si>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</si>
  <si>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</si>
  <si>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</si>
  <si>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</si>
  <si>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</si>
  <si>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</si>
  <si>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</si>
  <si>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</si>
  <si>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</si>
  <si>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</si>
  <si>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</si>
  <si>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</si>
  <si>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</si>
  <si>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</si>
  <si>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</si>
  <si>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</si>
  <si>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</si>
  <si>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</si>
  <si>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</si>
  <si>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</si>
  <si>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</si>
  <si>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</si>
  <si>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</si>
  <si>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</si>
  <si>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</si>
  <si>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</si>
  <si>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</si>
  <si>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</si>
  <si>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</si>
  <si>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</si>
  <si>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</si>
  <si>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</si>
  <si>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</si>
  <si>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</si>
  <si>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</si>
  <si>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</si>
  <si>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</si>
  <si>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</si>
  <si>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</si>
  <si>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</si>
  <si>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</si>
  <si>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</si>
  <si>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</si>
  <si>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</si>
  <si>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</si>
  <si>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</si>
  <si>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</si>
  <si>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</si>
  <si>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</si>
  <si>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</si>
  <si>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</si>
  <si>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</si>
  <si>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</si>
  <si>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</si>
  <si>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</si>
  <si>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</si>
  <si>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</si>
  <si>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</si>
  <si>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</si>
  <si>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</si>
  <si>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</si>
  <si>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</si>
  <si>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</si>
  <si>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</si>
  <si>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</si>
  <si>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</si>
  <si>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</si>
  <si>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</si>
  <si>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</si>
  <si>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</si>
  <si>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</si>
  <si>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</si>
  <si>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</si>
  <si>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</si>
  <si>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</si>
  <si>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</si>
  <si>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</si>
  <si>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</si>
  <si>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</si>
  <si>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</si>
  <si>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</si>
  <si>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</si>
  <si>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</si>
  <si>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</si>
  <si>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</si>
  <si>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</si>
  <si>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</si>
  <si>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</si>
  <si>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</si>
  <si>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</si>
  <si>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</si>
  <si>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</si>
  <si>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</si>
  <si>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</si>
  <si>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</si>
  <si>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</si>
  <si>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</si>
  <si>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</si>
  <si>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</si>
  <si>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</si>
  <si>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</si>
  <si>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</si>
  <si>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</si>
  <si>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</si>
  <si>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</si>
  <si>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</si>
  <si>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</si>
  <si>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</si>
  <si>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</si>
  <si>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</si>
  <si>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</si>
  <si>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</si>
  <si>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</si>
  <si>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</si>
  <si>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</si>
  <si>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</si>
  <si>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</si>
  <si>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</si>
  <si>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</si>
  <si>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</si>
  <si>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</si>
  <si>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</si>
  <si>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</si>
  <si>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</si>
  <si>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</si>
  <si>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</si>
  <si>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</si>
  <si>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</si>
  <si>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</si>
  <si>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</si>
  <si>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</si>
  <si>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</si>
  <si>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</si>
  <si>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</si>
  <si>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</si>
  <si>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</si>
  <si>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</si>
  <si>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</si>
  <si>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</si>
  <si>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</si>
  <si>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</si>
  <si>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</si>
  <si>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</si>
  <si>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</si>
  <si>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</si>
  <si>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</si>
  <si>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</si>
  <si>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</si>
  <si>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</si>
  <si>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</si>
  <si>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</si>
  <si>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</si>
  <si>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</si>
  <si>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</si>
  <si>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</si>
  <si>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</si>
  <si>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</si>
  <si>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</si>
  <si>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</si>
  <si>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</si>
  <si>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</si>
  <si>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</si>
  <si>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</si>
  <si>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</si>
  <si>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</si>
  <si>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</si>
  <si>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</si>
  <si>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</si>
  <si>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</si>
  <si>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</si>
  <si>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</si>
  <si>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</si>
  <si>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</si>
  <si>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</si>
  <si>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</si>
  <si>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</si>
  <si>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</si>
  <si>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</si>
  <si>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</si>
  <si>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</si>
  <si>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</si>
  <si>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</si>
  <si>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</si>
  <si>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</si>
  <si>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</si>
  <si>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</si>
  <si>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</si>
  <si>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</si>
  <si>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</si>
  <si>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</si>
  <si>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</si>
  <si>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</si>
  <si>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</si>
  <si>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</si>
  <si>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</si>
  <si>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</si>
  <si>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</si>
  <si>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</si>
  <si>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</si>
  <si>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</si>
  <si>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</si>
  <si>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</si>
  <si>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</si>
  <si>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</si>
  <si>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</si>
  <si>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</si>
  <si>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</si>
  <si>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</si>
  <si>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</si>
  <si>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</si>
  <si>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</si>
  <si>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</si>
  <si>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</si>
  <si>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</si>
  <si>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</si>
  <si>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</si>
  <si>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</si>
  <si>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</si>
  <si>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</si>
  <si>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</si>
  <si>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</si>
  <si>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</si>
  <si>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</si>
  <si>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</si>
  <si>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</si>
  <si>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</si>
  <si>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</si>
  <si>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</si>
  <si>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</si>
  <si>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</si>
  <si>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</si>
  <si>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</si>
  <si>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</si>
  <si>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</si>
  <si>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</si>
  <si>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</si>
  <si>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</si>
  <si>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</si>
  <si>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</si>
  <si>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</si>
  <si>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</si>
  <si>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</si>
  <si>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</si>
  <si>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</si>
  <si>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</si>
  <si>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</si>
  <si>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</si>
  <si>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</si>
  <si>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</si>
  <si>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</si>
  <si>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</si>
  <si>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</si>
  <si>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</si>
  <si>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</si>
  <si>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</si>
  <si>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</si>
  <si>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</si>
  <si>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</si>
  <si>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</si>
  <si>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</si>
  <si>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</si>
  <si>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</si>
  <si>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</si>
  <si>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</si>
  <si>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</si>
  <si>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</si>
  <si>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</si>
  <si>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</si>
  <si>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</si>
  <si>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</si>
  <si>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</si>
  <si>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</si>
  <si>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</si>
  <si>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</si>
  <si>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</si>
  <si>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</si>
  <si>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</si>
  <si>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</si>
  <si>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</si>
  <si>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</si>
  <si>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</si>
  <si>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</si>
  <si>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</si>
  <si>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</si>
  <si>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</si>
  <si>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</si>
  <si>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</si>
  <si>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</si>
  <si>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</si>
  <si>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</si>
  <si>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</si>
  <si>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</si>
  <si>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</si>
  <si>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</si>
  <si>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</si>
  <si>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</si>
  <si>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</si>
  <si>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</si>
  <si>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</si>
  <si>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</si>
  <si>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</si>
  <si>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</si>
  <si>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</si>
  <si>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</si>
  <si>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</si>
  <si>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</si>
  <si>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</si>
  <si>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</si>
  <si>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</si>
  <si>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</si>
  <si>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</si>
  <si>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</si>
  <si>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</si>
  <si>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</si>
  <si>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</si>
  <si>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</si>
  <si>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</si>
  <si>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</si>
  <si>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</si>
  <si>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</si>
  <si>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</si>
  <si>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</si>
  <si>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</si>
  <si>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</si>
  <si>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</si>
  <si>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</si>
  <si>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</si>
  <si>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</si>
  <si>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</si>
  <si>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</si>
  <si>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</si>
  <si>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</si>
  <si>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</si>
  <si>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</si>
  <si>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</si>
  <si>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</si>
  <si>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</si>
  <si>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</si>
  <si>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</si>
  <si>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</si>
  <si>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</si>
  <si>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</si>
  <si>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</si>
  <si>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</si>
  <si>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</si>
  <si>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</si>
  <si>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</si>
  <si>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</si>
  <si>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</si>
  <si>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</si>
  <si>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</si>
  <si>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</si>
  <si>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</si>
  <si>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</si>
  <si>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</si>
  <si>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</si>
  <si>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</si>
  <si>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</si>
  <si>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</si>
  <si>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</si>
  <si>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</si>
  <si>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</si>
  <si>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</si>
  <si>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</si>
  <si>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</si>
  <si>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</si>
  <si>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</si>
  <si>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</si>
  <si>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</si>
  <si>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</si>
  <si>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</si>
  <si>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</si>
  <si>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</si>
  <si>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</si>
  <si>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</si>
  <si>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</si>
  <si>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</si>
  <si>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</si>
  <si>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</si>
  <si>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</si>
  <si>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</si>
  <si>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</si>
  <si>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</si>
  <si>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</si>
  <si>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</si>
  <si>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</si>
  <si>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</si>
  <si>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</si>
  <si>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</si>
  <si>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</si>
  <si>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</si>
  <si>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</si>
  <si>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</si>
  <si>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</si>
  <si>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</si>
  <si>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</si>
  <si>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</si>
  <si>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</si>
  <si>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</si>
  <si>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</si>
  <si>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</si>
  <si>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</si>
  <si>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</si>
  <si>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</si>
  <si>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</si>
  <si>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</si>
  <si>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</si>
  <si>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</si>
  <si>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</si>
  <si>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</si>
  <si>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</si>
  <si>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</si>
  <si>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</si>
  <si>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</si>
  <si>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</si>
  <si>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</si>
  <si>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</si>
  <si>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</si>
  <si>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</si>
  <si>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</si>
  <si>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</si>
  <si>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</si>
  <si>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</si>
  <si>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</si>
  <si>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</si>
  <si>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</si>
  <si>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</si>
  <si>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</si>
  <si>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</si>
  <si>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</si>
  <si>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</si>
  <si>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</si>
  <si>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</si>
  <si>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</si>
  <si>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</si>
  <si>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</si>
  <si>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</si>
  <si>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</si>
  <si>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</si>
  <si>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</si>
  <si>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</si>
  <si>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</si>
  <si>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</si>
  <si>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</si>
  <si>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</si>
  <si>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</si>
  <si>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</si>
  <si>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</si>
  <si>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</si>
  <si>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</si>
  <si>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</si>
  <si>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</si>
  <si>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</si>
  <si>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</si>
  <si>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</si>
  <si>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</si>
  <si>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</si>
  <si>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</si>
  <si>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</si>
  <si>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</si>
  <si>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</si>
  <si>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</si>
  <si>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</si>
  <si>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</si>
  <si>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</si>
  <si>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</si>
  <si>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</si>
  <si>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</si>
  <si>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</si>
  <si>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</si>
  <si>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</si>
  <si>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</si>
  <si>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</si>
  <si>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</si>
  <si>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</si>
  <si>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</si>
  <si>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</si>
  <si>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</si>
  <si>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</si>
  <si>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</si>
  <si>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</si>
  <si>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</si>
  <si>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</si>
  <si>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</si>
  <si>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</si>
  <si>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</si>
  <si>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</si>
  <si>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</si>
  <si>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</si>
  <si>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</si>
  <si>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</si>
  <si>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</si>
  <si>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</si>
  <si>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</si>
  <si>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</si>
  <si>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</si>
  <si>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</si>
  <si>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</si>
  <si>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</si>
  <si>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</si>
  <si>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</si>
  <si>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</si>
  <si>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</si>
  <si>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</si>
  <si>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</si>
  <si>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</si>
  <si>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</si>
  <si>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</si>
  <si>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</si>
  <si>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</si>
  <si>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</si>
  <si>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</si>
  <si>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</si>
  <si>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</si>
  <si>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</si>
  <si>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</si>
  <si>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</si>
  <si>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</si>
  <si>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</si>
  <si>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</si>
  <si>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</si>
  <si>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</si>
  <si>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</si>
  <si>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</si>
  <si>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</si>
  <si>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</si>
  <si>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</si>
  <si>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</si>
  <si>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</si>
  <si>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</si>
  <si>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</si>
  <si>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</si>
  <si>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</si>
  <si>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</si>
  <si>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</si>
  <si>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</si>
  <si>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</si>
  <si>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</si>
  <si>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</si>
  <si>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</si>
  <si>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</si>
  <si>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</si>
  <si>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</si>
  <si>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</si>
  <si>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</si>
  <si>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</si>
  <si>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</si>
  <si>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</si>
  <si>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</si>
  <si>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</si>
  <si>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</si>
  <si>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</si>
  <si>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</si>
  <si>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</si>
  <si>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</si>
  <si>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</si>
  <si>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</si>
  <si>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</si>
  <si>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</si>
  <si>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</si>
  <si>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</si>
  <si>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</si>
  <si>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</si>
  <si>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</si>
  <si>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</si>
  <si>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</si>
  <si>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</si>
  <si>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</si>
  <si>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</si>
  <si>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</si>
  <si>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</si>
  <si>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</si>
  <si>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</si>
  <si>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</si>
  <si>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</si>
  <si>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</si>
  <si>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</si>
  <si>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</si>
  <si>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</si>
  <si>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</si>
  <si>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</si>
  <si>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</si>
  <si>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</si>
  <si>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</si>
  <si>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</si>
  <si>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</si>
  <si>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</si>
  <si>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</si>
  <si>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</si>
  <si>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</si>
  <si>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</si>
  <si>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</si>
  <si>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</si>
  <si>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</si>
  <si>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</si>
  <si>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</si>
  <si>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</si>
  <si>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</si>
  <si>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</si>
  <si>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</si>
  <si>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</si>
  <si>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</si>
  <si>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</si>
  <si>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</si>
  <si>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</si>
  <si>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</si>
  <si>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</si>
  <si>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</si>
  <si>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</si>
  <si>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</si>
  <si>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</si>
  <si>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</si>
  <si>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</si>
  <si>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</si>
  <si>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</si>
  <si>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</si>
  <si>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</si>
  <si>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</si>
  <si>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</si>
  <si>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</si>
  <si>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</si>
  <si>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</si>
  <si>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</si>
  <si>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</si>
  <si>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</si>
  <si>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</si>
  <si>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</si>
  <si>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</si>
  <si>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</si>
  <si>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</si>
  <si>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</si>
  <si>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</si>
  <si>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</si>
  <si>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</si>
  <si>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</si>
  <si>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</si>
  <si>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</si>
  <si>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</si>
  <si>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</si>
  <si>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</si>
  <si>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</si>
  <si>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</si>
  <si>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</si>
  <si>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</si>
  <si>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</si>
  <si>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</si>
  <si>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</si>
  <si>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</si>
  <si>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</si>
  <si>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</si>
  <si>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</si>
  <si>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</si>
  <si>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</si>
  <si>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</si>
  <si>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</si>
  <si>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</si>
  <si>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</si>
  <si>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</si>
  <si>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</si>
  <si>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</si>
  <si>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</si>
  <si>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</si>
  <si>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</si>
  <si>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</si>
  <si>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</si>
  <si>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</si>
  <si>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</si>
  <si>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</si>
  <si>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</si>
  <si>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</si>
  <si>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</si>
  <si>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</si>
  <si>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</si>
  <si>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</si>
  <si>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</si>
  <si>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</si>
  <si>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</si>
  <si>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</si>
  <si>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</si>
  <si>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</si>
  <si>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</si>
  <si>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</si>
  <si>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</si>
  <si>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</si>
  <si>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</si>
  <si>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</si>
  <si>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</si>
  <si>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</si>
  <si>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</si>
  <si>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</si>
  <si>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</si>
  <si>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</si>
  <si>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</si>
  <si>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</si>
  <si>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</si>
  <si>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</si>
  <si>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</si>
  <si>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</si>
  <si>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</si>
  <si>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</si>
  <si>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</si>
  <si>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</si>
  <si>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</si>
  <si>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</si>
  <si>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</si>
  <si>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</si>
  <si>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</si>
  <si>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</si>
  <si>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</si>
  <si>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</si>
  <si>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</si>
  <si>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</si>
  <si>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</si>
  <si>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</si>
  <si>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</si>
  <si>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</si>
  <si>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</si>
  <si>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</si>
  <si>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</si>
  <si>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</si>
  <si>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</si>
  <si>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</si>
  <si>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</si>
  <si>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</si>
  <si>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</si>
  <si>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</si>
  <si>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</si>
  <si>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</si>
  <si>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</si>
  <si>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</si>
  <si>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</si>
  <si>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</si>
  <si>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</si>
  <si>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</si>
  <si>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</si>
  <si>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</si>
  <si>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</si>
  <si>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</si>
  <si>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</si>
  <si>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</si>
  <si>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</si>
  <si>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</si>
  <si>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</si>
  <si>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</si>
  <si>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</si>
  <si>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</si>
  <si>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</si>
  <si>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</si>
  <si>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</si>
  <si>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</si>
  <si>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</si>
  <si>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</si>
  <si>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</si>
  <si>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</si>
  <si>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</si>
  <si>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</si>
  <si>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</si>
  <si>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</si>
  <si>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</si>
  <si>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</si>
  <si>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</si>
  <si>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</si>
  <si>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</si>
  <si>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</si>
  <si>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</si>
  <si>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</si>
  <si>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</si>
  <si>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</si>
  <si>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</si>
  <si>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</si>
  <si>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</si>
  <si>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</si>
  <si>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</si>
  <si>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</si>
  <si>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</si>
  <si>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</si>
  <si>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</si>
  <si>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</si>
  <si>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</si>
  <si>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</si>
  <si>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</si>
  <si>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</si>
  <si>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</si>
  <si>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</si>
  <si>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</si>
  <si>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</si>
  <si>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</si>
  <si>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</si>
  <si>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</si>
  <si>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</si>
  <si>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</si>
  <si>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</si>
  <si>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</si>
  <si>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</si>
  <si>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</si>
  <si>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</si>
  <si>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</si>
  <si>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</si>
  <si>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</si>
  <si>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</si>
  <si>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</si>
  <si>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</si>
  <si>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</si>
  <si>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</si>
  <si>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</si>
  <si>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</si>
  <si>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</si>
  <si>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</si>
  <si>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</si>
  <si>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</si>
  <si>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</si>
  <si>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</si>
  <si>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</si>
  <si>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</si>
  <si>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</si>
  <si>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</si>
  <si>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</si>
  <si>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</si>
  <si>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</si>
  <si>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</si>
  <si>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</si>
  <si>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</si>
  <si>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</si>
  <si>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</si>
  <si>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</si>
  <si>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</si>
  <si>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</si>
  <si>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</si>
  <si>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</si>
  <si>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</si>
  <si>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</si>
  <si>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</si>
  <si>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</si>
  <si>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</si>
  <si>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</si>
  <si>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</si>
  <si>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</si>
  <si>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</si>
  <si>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</si>
  <si>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</si>
  <si>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</si>
  <si>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</si>
  <si>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</si>
  <si>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</si>
  <si>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</si>
  <si>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</si>
  <si>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</si>
  <si>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</si>
  <si>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</si>
  <si>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</si>
  <si>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</si>
  <si>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</si>
  <si>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</si>
  <si>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</si>
  <si>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</si>
  <si>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</si>
  <si>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</si>
  <si>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</si>
  <si>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</si>
  <si>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</si>
  <si>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</si>
  <si>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</si>
  <si>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</si>
  <si>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</si>
  <si>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</si>
  <si>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</si>
  <si>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</si>
  <si>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</si>
  <si>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</si>
  <si>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</si>
  <si>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</si>
  <si>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</si>
  <si>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</si>
  <si>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</si>
  <si>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</si>
  <si>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</si>
  <si>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</si>
  <si>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</si>
  <si>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</si>
  <si>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</si>
  <si>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</si>
  <si>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</si>
  <si>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</si>
  <si>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</si>
  <si>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</si>
  <si>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</si>
  <si>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</si>
  <si>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</si>
  <si>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</si>
  <si>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</si>
  <si>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</si>
  <si>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</si>
  <si>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</si>
  <si>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</si>
  <si>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</si>
  <si>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</si>
  <si>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</si>
  <si>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</si>
  <si>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</si>
  <si>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</si>
  <si>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</si>
  <si>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</si>
  <si>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</si>
  <si>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</si>
  <si>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</si>
  <si>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</si>
  <si>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</si>
  <si>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</si>
  <si>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</si>
  <si>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</si>
  <si>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</si>
  <si>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</si>
  <si>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</si>
  <si>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</si>
  <si>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</si>
  <si>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</si>
  <si>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</si>
  <si>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</si>
  <si>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</si>
  <si>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</si>
  <si>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</si>
  <si>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</si>
  <si>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</si>
  <si>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</si>
  <si>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</si>
  <si>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</si>
  <si>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</si>
  <si>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</si>
  <si>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</si>
  <si>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</si>
  <si>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</si>
  <si>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</si>
  <si>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</si>
  <si>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</si>
  <si>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</si>
  <si>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</si>
  <si>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</si>
  <si>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</si>
  <si>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</si>
  <si>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</si>
  <si>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</si>
  <si>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</si>
  <si>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</si>
  <si>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</si>
  <si>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</si>
  <si>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</si>
  <si>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</si>
  <si>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</si>
  <si>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</si>
  <si>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</si>
  <si>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</si>
  <si>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</si>
  <si>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</si>
  <si>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</si>
  <si>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</si>
  <si>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</si>
  <si>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</si>
  <si>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</si>
  <si>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</si>
  <si>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</si>
  <si>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</si>
  <si>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</si>
  <si>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</si>
  <si>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</si>
  <si>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</si>
  <si>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</si>
  <si>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</si>
  <si>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</si>
  <si>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</si>
  <si>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</si>
  <si>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</si>
  <si>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</si>
  <si>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</si>
  <si>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</si>
  <si>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</si>
  <si>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</si>
  <si>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</si>
  <si>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</si>
  <si>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</si>
  <si>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</si>
  <si>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</si>
  <si>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</si>
  <si>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</si>
  <si>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</si>
  <si>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</si>
  <si>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</si>
  <si>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</si>
  <si>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</si>
  <si>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</si>
  <si>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</si>
  <si>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</si>
  <si>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</si>
  <si>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</si>
  <si>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</si>
  <si>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</si>
  <si>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</si>
  <si>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</si>
  <si>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</si>
  <si>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</si>
  <si>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</si>
  <si>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</si>
  <si>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</si>
  <si>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</si>
  <si>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</si>
  <si>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</si>
  <si>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</si>
  <si>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</si>
  <si>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</si>
  <si>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</si>
  <si>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</si>
  <si>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</si>
  <si>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</si>
  <si>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</si>
  <si>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</si>
  <si>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</si>
  <si>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</si>
  <si>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</si>
  <si>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</si>
  <si>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</si>
  <si>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</si>
  <si>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</si>
  <si>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</si>
  <si>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</si>
  <si>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</si>
  <si>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</si>
  <si>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</si>
  <si>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</si>
  <si>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</si>
  <si>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</si>
  <si>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</si>
  <si>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</si>
  <si>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</si>
  <si>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</si>
  <si>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</si>
  <si>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</si>
  <si>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</si>
  <si>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</si>
  <si>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</si>
  <si>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</si>
  <si>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</si>
  <si>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</si>
  <si>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</si>
  <si>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</si>
  <si>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</si>
  <si>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</si>
  <si>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</si>
  <si>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</si>
  <si>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</si>
  <si>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</si>
  <si>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</si>
  <si>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</si>
  <si>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</si>
  <si>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</si>
  <si>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</si>
  <si>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</si>
  <si>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</si>
  <si>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</si>
  <si>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</si>
  <si>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</si>
  <si>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</si>
  <si>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</si>
  <si>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</si>
  <si>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</si>
  <si>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</si>
  <si>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</si>
  <si>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</si>
  <si>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</si>
  <si>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</si>
  <si>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</si>
  <si>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</si>
  <si>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</si>
  <si>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</si>
  <si>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</si>
  <si>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</si>
  <si>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</si>
  <si>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</si>
  <si>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</si>
  <si>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</si>
  <si>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</si>
  <si>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</si>
  <si>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</si>
  <si>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</si>
  <si>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</si>
  <si>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</si>
  <si>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</si>
  <si>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</si>
  <si>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</si>
  <si>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</si>
  <si>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</si>
  <si>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</si>
  <si>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</si>
  <si>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</si>
  <si>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</si>
  <si>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</si>
  <si>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</si>
  <si>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</si>
  <si>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</si>
  <si>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</si>
  <si>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</si>
  <si>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</si>
  <si>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</si>
  <si>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</si>
  <si>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</si>
  <si>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</si>
  <si>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</si>
  <si>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</si>
  <si>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</si>
  <si>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</si>
  <si>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</si>
  <si>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</si>
  <si>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</si>
  <si>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</si>
  <si>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</si>
  <si>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</si>
  <si>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</si>
  <si>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</si>
  <si>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</si>
  <si>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</si>
  <si>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</si>
  <si>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</si>
  <si>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</si>
  <si>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</si>
  <si>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</si>
  <si>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</si>
  <si>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</si>
  <si>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</si>
  <si>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</si>
  <si>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</si>
  <si>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</si>
  <si>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</si>
  <si>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</si>
  <si>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</si>
  <si>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</si>
  <si>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</si>
  <si>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</si>
  <si>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</si>
  <si>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</si>
  <si>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</si>
  <si>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</si>
  <si>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</si>
  <si>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</si>
  <si>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</si>
  <si>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</si>
  <si>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</si>
  <si>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</si>
  <si>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</si>
  <si>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</si>
  <si>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</si>
  <si>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</si>
  <si>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</si>
  <si>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</si>
  <si>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</si>
  <si>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</si>
  <si>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</si>
  <si>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</si>
  <si>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</si>
  <si>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</si>
  <si>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</si>
  <si>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</si>
  <si>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</si>
  <si>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</si>
  <si>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</si>
  <si>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</si>
  <si>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</si>
  <si>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</si>
  <si>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</si>
  <si>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</si>
  <si>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</si>
  <si>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</si>
  <si>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</si>
  <si>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</si>
  <si>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</si>
  <si>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</si>
  <si>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</si>
  <si>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</si>
  <si>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</si>
  <si>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</si>
  <si>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</si>
  <si>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</si>
  <si>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</si>
  <si>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</si>
  <si>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</si>
  <si>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</si>
  <si>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</si>
  <si>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</si>
  <si>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</si>
  <si>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</si>
  <si>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</si>
  <si>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</si>
  <si>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</si>
  <si>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</si>
  <si>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</si>
  <si>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</si>
  <si>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</si>
  <si>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</si>
  <si>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</si>
  <si>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</si>
  <si>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</si>
  <si>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</si>
  <si>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</si>
  <si>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</si>
  <si>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</si>
  <si>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</si>
  <si>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</si>
  <si>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</si>
  <si>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</si>
  <si>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</si>
  <si>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</si>
  <si>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</si>
  <si>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</si>
  <si>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</si>
  <si>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</si>
  <si>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</si>
  <si>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</si>
  <si>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</si>
  <si>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</si>
  <si>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</si>
  <si>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</si>
  <si>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</si>
  <si>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</si>
  <si>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</si>
  <si>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</si>
  <si>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</si>
  <si>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</si>
  <si>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</si>
  <si>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</si>
  <si>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</si>
  <si>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</si>
  <si>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</si>
  <si>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</si>
  <si>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</si>
  <si>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</si>
  <si>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</si>
  <si>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</si>
  <si>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</si>
  <si>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</si>
  <si>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</si>
  <si>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</si>
  <si>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</si>
  <si>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</si>
  <si>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</si>
  <si>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</si>
  <si>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</si>
  <si>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</si>
  <si>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</si>
  <si>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</si>
  <si>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</si>
  <si>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</si>
  <si>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</si>
  <si>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</si>
  <si>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</si>
  <si>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</si>
  <si>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</si>
  <si>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</si>
  <si>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</si>
  <si>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</si>
  <si>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</si>
  <si>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</si>
  <si>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</si>
  <si>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</si>
  <si>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</si>
  <si>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</si>
  <si>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</si>
  <si>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</si>
  <si>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</si>
  <si>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</si>
  <si>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</si>
  <si>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</si>
  <si>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</si>
  <si>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</si>
  <si>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</si>
  <si>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</si>
  <si>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</si>
  <si>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</si>
  <si>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</si>
  <si>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</si>
  <si>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</si>
  <si>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</si>
  <si>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</si>
  <si>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</si>
  <si>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</si>
  <si>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</si>
  <si>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</si>
  <si>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</si>
  <si>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</si>
  <si>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</si>
  <si>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</si>
  <si>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</si>
  <si>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</si>
  <si>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</si>
  <si>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</si>
  <si>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</si>
  <si>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</si>
  <si>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</si>
  <si>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</si>
  <si>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</si>
  <si>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</si>
  <si>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</si>
  <si>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</si>
  <si>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</si>
  <si>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</si>
  <si>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</si>
  <si>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</si>
  <si>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</si>
  <si>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</si>
  <si>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</si>
  <si>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</si>
  <si>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</si>
  <si>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</si>
  <si>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</si>
  <si>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</si>
  <si>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</si>
  <si>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</si>
  <si>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</si>
  <si>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</si>
  <si>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</si>
  <si>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</si>
  <si>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</si>
  <si>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</si>
  <si>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</si>
  <si>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</si>
  <si>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</si>
  <si>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</si>
  <si>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</si>
  <si>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</si>
  <si>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</si>
  <si>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</si>
  <si>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</si>
  <si>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</si>
  <si>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</si>
  <si>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</si>
  <si>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</si>
  <si>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</si>
  <si>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</si>
  <si>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</si>
  <si>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</si>
  <si>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</si>
  <si>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</si>
  <si>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</si>
  <si>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</si>
  <si>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</si>
  <si>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</si>
  <si>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</si>
  <si>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</si>
  <si>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</si>
  <si>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</si>
  <si>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</si>
  <si>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</si>
  <si>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</si>
  <si>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</si>
  <si>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</si>
  <si>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</si>
  <si>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</si>
  <si>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</si>
  <si>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</si>
  <si>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</si>
  <si>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</si>
  <si>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</si>
  <si>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</si>
  <si>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</si>
  <si>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</si>
  <si>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</si>
  <si>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</si>
  <si>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</si>
  <si>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</si>
  <si>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</si>
  <si>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</si>
  <si>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</si>
  <si>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</si>
  <si>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</si>
  <si>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</si>
  <si>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</si>
  <si>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</si>
  <si>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</si>
  <si>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</si>
  <si>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</si>
  <si>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</si>
  <si>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</si>
  <si>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</si>
  <si>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</si>
  <si>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</si>
  <si>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</si>
  <si>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</si>
  <si>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</si>
  <si>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</si>
  <si>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</si>
  <si>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</si>
  <si>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</si>
  <si>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</si>
  <si>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</si>
  <si>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</si>
  <si>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</si>
  <si>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</si>
  <si>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</si>
  <si>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</si>
  <si>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</si>
  <si>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</si>
  <si>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</si>
  <si>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</si>
  <si>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</si>
  <si>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</si>
  <si>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</si>
  <si>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</si>
  <si>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</si>
  <si>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</si>
  <si>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</si>
  <si>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</si>
  <si>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</si>
  <si>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</si>
  <si>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</si>
  <si>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</si>
  <si>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</si>
  <si>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</si>
  <si>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</si>
  <si>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</si>
  <si>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</si>
  <si>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</si>
  <si>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</si>
  <si>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</si>
  <si>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</si>
  <si>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</si>
  <si>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</si>
  <si>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</si>
  <si>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</si>
  <si>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</si>
  <si>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</si>
  <si>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</si>
  <si>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</si>
  <si>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</si>
  <si>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</si>
  <si>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</si>
  <si>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</si>
  <si>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</si>
  <si>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</si>
  <si>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</si>
  <si>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</si>
  <si>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</si>
  <si>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</si>
  <si>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</si>
  <si>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</si>
  <si>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</si>
  <si>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</si>
  <si>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</si>
  <si>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</si>
  <si>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</si>
  <si>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</si>
  <si>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</si>
  <si>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</si>
  <si>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</si>
  <si>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</si>
  <si>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</si>
  <si>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</si>
  <si>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</si>
  <si>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</si>
  <si>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</si>
  <si>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</si>
  <si>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</si>
  <si>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</si>
  <si>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</si>
  <si>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</si>
  <si>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</si>
  <si>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</si>
  <si>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</si>
  <si>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</si>
  <si>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</si>
  <si>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</si>
  <si>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</si>
  <si>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</si>
  <si>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</si>
  <si>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</si>
  <si>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</si>
  <si>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</si>
  <si>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</si>
  <si>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</si>
  <si>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</si>
  <si>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</si>
  <si>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</si>
  <si>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</si>
  <si>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</si>
  <si>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</si>
  <si>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</si>
  <si>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</si>
  <si>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</si>
  <si>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</si>
  <si>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</si>
  <si>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</si>
  <si>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</si>
  <si>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</si>
  <si>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</si>
  <si>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</si>
  <si>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</si>
  <si>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</si>
  <si>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</si>
  <si>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</si>
  <si>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</si>
  <si>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</si>
  <si>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</si>
  <si>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</si>
  <si>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</si>
  <si>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</si>
  <si>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</si>
  <si>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</si>
  <si>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</si>
  <si>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</si>
  <si>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</si>
  <si>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</si>
  <si>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</si>
  <si>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</si>
  <si>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</si>
  <si>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</si>
  <si>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</si>
  <si>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</si>
  <si>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</si>
  <si>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</si>
  <si>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</si>
  <si>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</si>
  <si>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</si>
  <si>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</si>
  <si>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</si>
  <si>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</si>
  <si>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</si>
  <si>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</si>
  <si>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</si>
  <si>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</si>
  <si>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</si>
  <si>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</si>
  <si>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</si>
  <si>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</si>
  <si>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</si>
  <si>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</si>
  <si>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</si>
  <si>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</si>
  <si>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</si>
  <si>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</si>
  <si>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</si>
  <si>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</si>
  <si>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</si>
  <si>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</si>
  <si>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</si>
  <si>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</si>
  <si>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</si>
  <si>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</si>
  <si>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</si>
  <si>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</si>
  <si>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</si>
  <si>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</si>
  <si>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</si>
  <si>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</si>
  <si>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</si>
  <si>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</si>
  <si>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</si>
  <si>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</si>
  <si>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</si>
  <si>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</si>
  <si>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</si>
  <si>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</si>
  <si>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</si>
  <si>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</si>
  <si>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</si>
  <si>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</si>
  <si>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</si>
  <si>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</si>
  <si>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</si>
  <si>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</si>
  <si>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</si>
  <si>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</si>
  <si>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</si>
  <si>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</si>
  <si>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</si>
  <si>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</si>
  <si>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</si>
  <si>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</si>
  <si>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</si>
  <si>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</si>
  <si>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</si>
  <si>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</si>
  <si>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</si>
  <si>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</si>
  <si>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</si>
  <si>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</si>
  <si>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</si>
  <si>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</si>
  <si>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</si>
  <si>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</si>
  <si>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</si>
  <si>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</si>
  <si>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</si>
  <si>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</si>
  <si>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</si>
  <si>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</si>
  <si>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</si>
  <si>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</si>
  <si>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</si>
  <si>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</si>
  <si>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</si>
  <si>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</si>
  <si>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</si>
  <si>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</si>
  <si>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</si>
  <si>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</si>
  <si>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</si>
  <si>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</si>
  <si>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</si>
  <si>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</si>
  <si>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</si>
  <si>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</si>
  <si>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</si>
  <si>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</si>
  <si>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</si>
  <si>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</si>
  <si>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</si>
  <si>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</si>
  <si>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</si>
  <si>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</si>
  <si>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</si>
  <si>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</si>
  <si>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</si>
  <si>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</si>
  <si>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</si>
  <si>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</si>
  <si>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</si>
  <si>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</si>
  <si>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</si>
  <si>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</si>
  <si>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</si>
  <si>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</si>
  <si>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</si>
  <si>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</si>
  <si>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</si>
  <si>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</si>
  <si>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</si>
  <si>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</si>
  <si>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</si>
  <si>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</si>
  <si>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</si>
  <si>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</si>
  <si>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</si>
  <si>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</si>
  <si>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</si>
  <si>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</si>
  <si>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</si>
  <si>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</si>
  <si>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</si>
  <si>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</si>
  <si>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</si>
  <si>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</si>
  <si>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</si>
  <si>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</si>
  <si>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</si>
  <si>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</si>
  <si>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</si>
  <si>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</si>
  <si>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</si>
  <si>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</si>
  <si>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</si>
  <si>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</si>
  <si>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</si>
  <si>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</si>
  <si>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</si>
  <si>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</si>
  <si>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</si>
  <si>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</si>
  <si>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</si>
  <si>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</si>
  <si>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</si>
  <si>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</si>
  <si>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</si>
  <si>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</si>
  <si>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</si>
  <si>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</si>
  <si>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</si>
  <si>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</si>
  <si>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</si>
  <si>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</si>
  <si>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</si>
  <si>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</si>
  <si>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</si>
  <si>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</si>
  <si>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</si>
  <si>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</si>
  <si>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</si>
  <si>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</si>
  <si>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</si>
  <si>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</si>
  <si>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</si>
  <si>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</si>
  <si>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</si>
  <si>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</si>
  <si>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</si>
  <si>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</si>
  <si>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</si>
  <si>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</si>
  <si>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</si>
  <si>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</si>
  <si>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</si>
  <si>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</si>
  <si>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</si>
  <si>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</si>
  <si>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</si>
  <si>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</si>
  <si>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</si>
  <si>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</si>
  <si>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</si>
  <si>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</si>
  <si>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</si>
  <si>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</si>
  <si>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</si>
  <si>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</si>
  <si>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</si>
  <si>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</si>
  <si>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</si>
  <si>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</si>
  <si>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</si>
  <si>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</si>
  <si>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</si>
  <si>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</si>
  <si>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</si>
  <si>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</si>
  <si>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</si>
  <si>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</si>
  <si>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</si>
  <si>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</si>
  <si>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</si>
  <si>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</si>
  <si>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</si>
  <si>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</si>
  <si>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</si>
  <si>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</si>
  <si>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</si>
  <si>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</si>
  <si>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</si>
  <si>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</si>
  <si>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</si>
  <si>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</si>
  <si>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</si>
  <si>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</si>
  <si>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</si>
  <si>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</si>
  <si>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</si>
  <si>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</si>
  <si>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</si>
  <si>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</si>
  <si>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</si>
  <si>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</si>
  <si>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</si>
  <si>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</si>
  <si>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</si>
  <si>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</si>
  <si>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</si>
  <si>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</si>
  <si>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</si>
  <si>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</si>
  <si>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</si>
  <si>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</si>
  <si>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</si>
  <si>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</si>
  <si>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</si>
  <si>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</si>
  <si>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</si>
  <si>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</si>
  <si>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</si>
  <si>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</si>
  <si>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</si>
  <si>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</si>
  <si>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</si>
  <si>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</si>
  <si>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</si>
  <si>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</si>
  <si>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</si>
  <si>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</si>
  <si>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</si>
  <si>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</si>
  <si>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</si>
  <si>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</si>
  <si>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</si>
  <si>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</si>
  <si>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</si>
  <si>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</si>
  <si>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</si>
  <si>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</si>
  <si>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</si>
  <si>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</si>
  <si>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</si>
  <si>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</si>
  <si>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</si>
  <si>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</si>
  <si>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</si>
  <si>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</si>
  <si>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</si>
  <si>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</si>
  <si>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</si>
  <si>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</si>
  <si>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</si>
  <si>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</si>
  <si>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</si>
  <si>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</si>
  <si>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</si>
  <si>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</si>
  <si>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</si>
  <si>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</si>
  <si>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</si>
  <si>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</si>
  <si>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</si>
  <si>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</si>
  <si>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</si>
  <si>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</si>
  <si>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</si>
  <si>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</si>
  <si>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</si>
  <si>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</si>
  <si>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</si>
  <si>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</si>
  <si>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</si>
  <si>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</si>
  <si>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</si>
  <si>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</si>
  <si>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</si>
  <si>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</si>
  <si>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</si>
  <si>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</si>
  <si>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</si>
  <si>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</si>
  <si>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</si>
  <si>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</si>
  <si>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</si>
  <si>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</si>
  <si>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</si>
  <si>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</si>
  <si>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</si>
  <si>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</si>
  <si>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</si>
  <si>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</si>
  <si>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</si>
  <si>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</si>
  <si>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</si>
  <si>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</si>
  <si>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</si>
  <si>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</si>
  <si>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</si>
  <si>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</si>
  <si>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</si>
  <si>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</si>
  <si>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</si>
  <si>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</si>
  <si>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</si>
  <si>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</si>
  <si>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</si>
  <si>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</si>
  <si>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</si>
  <si>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</si>
  <si>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</si>
  <si>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</si>
  <si>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</si>
  <si>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</si>
  <si>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</si>
  <si>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</si>
  <si>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</si>
  <si>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</si>
  <si>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</si>
  <si>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</si>
  <si>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</si>
  <si>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</si>
  <si>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</si>
  <si>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</si>
  <si>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</si>
  <si>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</si>
  <si>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</si>
  <si>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</si>
  <si>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</si>
  <si>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</si>
  <si>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</si>
  <si>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</si>
  <si>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</si>
  <si>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</si>
  <si>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</si>
  <si>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</si>
  <si>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</si>
  <si>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</si>
  <si>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</si>
  <si>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</si>
  <si>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</si>
  <si>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</si>
  <si>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</si>
  <si>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</si>
  <si>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</si>
  <si>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</si>
  <si>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</si>
  <si>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</si>
  <si>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</si>
  <si>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</si>
  <si>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</si>
  <si>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</si>
  <si>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</si>
  <si>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</si>
  <si>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</si>
  <si>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</si>
  <si>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</si>
  <si>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</si>
  <si>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</si>
  <si>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</si>
  <si>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</si>
  <si>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</si>
  <si>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</si>
  <si>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</si>
  <si>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</si>
  <si>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</si>
  <si>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</si>
  <si>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</si>
  <si>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</si>
  <si>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</si>
  <si>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</si>
  <si>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</si>
  <si>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</si>
  <si>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</si>
  <si>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</si>
  <si>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</si>
  <si>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</si>
  <si>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</si>
  <si>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</si>
  <si>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</si>
  <si>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</si>
  <si>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</si>
  <si>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</si>
  <si>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</si>
  <si>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</si>
  <si>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</si>
  <si>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</si>
  <si>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</si>
  <si>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</si>
  <si>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</si>
  <si>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</si>
  <si>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</si>
  <si>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</si>
  <si>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</si>
  <si>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</si>
  <si>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</si>
  <si>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</si>
  <si>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</si>
  <si>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</si>
  <si>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</si>
  <si>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</si>
  <si>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</si>
  <si>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</si>
  <si>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</si>
  <si>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</si>
  <si>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</si>
  <si>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</si>
  <si>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</si>
  <si>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</si>
  <si>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</si>
  <si>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</si>
  <si>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</si>
  <si>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</si>
  <si>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</si>
  <si>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</si>
  <si>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</si>
  <si>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</si>
  <si>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</si>
  <si>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</si>
  <si>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</si>
  <si>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</si>
  <si>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</si>
  <si>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</si>
  <si>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</si>
  <si>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</si>
  <si>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</si>
  <si>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</si>
  <si>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</si>
  <si>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</si>
  <si>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</si>
  <si>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</si>
  <si>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</si>
  <si>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</si>
  <si>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</si>
  <si>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</si>
  <si>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</si>
  <si>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</si>
  <si>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</si>
  <si>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</si>
  <si>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</si>
  <si>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</si>
  <si>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</si>
  <si>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</si>
  <si>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</si>
  <si>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</si>
  <si>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</si>
  <si>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</si>
  <si>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</si>
  <si>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</si>
  <si>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</si>
  <si>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</si>
  <si>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</si>
  <si>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</si>
  <si>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</si>
  <si>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</si>
  <si>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</si>
  <si>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</si>
  <si>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</si>
  <si>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</si>
  <si>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</si>
  <si>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</si>
  <si>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</si>
  <si>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</si>
  <si>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</si>
  <si>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</si>
  <si>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</si>
  <si>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</si>
  <si>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</si>
  <si>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</si>
  <si>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</si>
  <si>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</si>
  <si>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</si>
  <si>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</si>
  <si>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</si>
  <si>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</si>
  <si>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</si>
  <si>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</si>
  <si>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</si>
  <si>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</si>
  <si>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</si>
  <si>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</si>
  <si>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</si>
  <si>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</si>
  <si>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</si>
  <si>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</si>
  <si>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</si>
  <si>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</si>
  <si>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</si>
  <si>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</si>
  <si>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</si>
  <si>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</si>
  <si>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</si>
  <si>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</si>
  <si>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</si>
  <si>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</si>
  <si>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</si>
  <si>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</si>
  <si>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</si>
  <si>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</si>
  <si>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</si>
  <si>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</si>
  <si>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</si>
  <si>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</si>
  <si>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</si>
  <si>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</si>
  <si>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</si>
  <si>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</si>
  <si>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</si>
  <si>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</si>
  <si>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</si>
  <si>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</si>
  <si>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</si>
  <si>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</si>
  <si>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</si>
  <si>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</si>
  <si>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</si>
  <si>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</si>
  <si>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</si>
  <si>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</si>
  <si>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</si>
  <si>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</si>
  <si>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</si>
  <si>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</si>
  <si>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</si>
  <si>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</si>
  <si>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</si>
  <si>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</si>
  <si>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</si>
  <si>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</si>
  <si>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</si>
  <si>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</si>
  <si>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</si>
  <si>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</si>
  <si>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</si>
  <si>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</si>
  <si>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</si>
  <si>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</si>
  <si>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</si>
  <si>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</si>
  <si>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</si>
  <si>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</si>
  <si>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</si>
  <si>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</si>
  <si>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</si>
  <si>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</si>
  <si>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</si>
  <si>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</si>
  <si>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</si>
  <si>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</si>
  <si>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</si>
  <si>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</si>
  <si>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</si>
  <si>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</si>
  <si>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</si>
  <si>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</si>
  <si>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</si>
  <si>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</si>
  <si>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</si>
  <si>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</si>
  <si>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</si>
  <si>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</si>
  <si>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</si>
  <si>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</si>
  <si>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</si>
  <si>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</si>
  <si>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</si>
  <si>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</si>
  <si>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</si>
  <si>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</si>
  <si>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</si>
  <si>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</si>
  <si>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</si>
  <si>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</si>
  <si>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</si>
  <si>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</si>
  <si>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</si>
  <si>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</si>
  <si>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</si>
  <si>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</si>
  <si>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</si>
  <si>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</si>
  <si>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</si>
  <si>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</si>
  <si>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</si>
  <si>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</si>
  <si>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</si>
  <si>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</si>
  <si>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</si>
  <si>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</si>
  <si>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</si>
  <si>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</si>
  <si>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</si>
  <si>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</si>
  <si>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</si>
  <si>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</si>
  <si>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</si>
  <si>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</si>
  <si>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</si>
  <si>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</si>
  <si>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</si>
  <si>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</si>
  <si>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</si>
  <si>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</si>
  <si>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</si>
  <si>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</si>
  <si>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</si>
  <si>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</si>
  <si>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</si>
  <si>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</si>
  <si>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</si>
  <si>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</si>
  <si>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</si>
  <si>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</si>
  <si>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</si>
  <si>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</si>
  <si>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</si>
  <si>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</si>
  <si>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</si>
  <si>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</si>
  <si>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</si>
  <si>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</si>
  <si>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</si>
  <si>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</si>
  <si>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</si>
  <si>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</si>
  <si>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</si>
  <si>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</si>
  <si>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</si>
  <si>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</si>
  <si>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</si>
  <si>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</si>
  <si>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</si>
  <si>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</si>
  <si>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</si>
  <si>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</si>
  <si>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</si>
  <si>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</si>
  <si>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</si>
  <si>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</si>
  <si>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</si>
  <si>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</si>
  <si>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</si>
  <si>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</si>
  <si>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</si>
  <si>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</si>
  <si>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</si>
  <si>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</si>
  <si>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</si>
  <si>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</si>
  <si>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</si>
  <si>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</si>
  <si>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</si>
  <si>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</si>
  <si>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</si>
  <si>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</si>
  <si>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</si>
  <si>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</si>
  <si>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</si>
  <si>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</si>
  <si>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</si>
  <si>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</si>
  <si>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</si>
  <si>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</si>
  <si>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</si>
  <si>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</si>
  <si>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</si>
  <si>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</si>
  <si>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</si>
  <si>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</si>
  <si>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</si>
  <si>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</si>
  <si>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</si>
  <si>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</si>
  <si>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</si>
  <si>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</si>
  <si>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</si>
  <si>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</si>
  <si>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</si>
  <si>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</si>
  <si>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</si>
  <si>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</si>
  <si>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</si>
  <si>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</si>
  <si>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</si>
  <si>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</si>
  <si>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</si>
  <si>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</si>
  <si>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</si>
  <si>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</si>
  <si>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</si>
  <si>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</si>
  <si>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</si>
  <si>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</si>
  <si>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</si>
  <si>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</si>
  <si>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</si>
  <si>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</si>
  <si>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</si>
  <si>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</si>
  <si>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</si>
  <si>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</si>
  <si>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</si>
  <si>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</si>
  <si>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</si>
  <si>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</si>
  <si>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</si>
  <si>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</si>
  <si>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</si>
  <si>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</si>
  <si>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</si>
  <si>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</si>
  <si>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</si>
  <si>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</si>
  <si>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</si>
  <si>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</si>
  <si>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</si>
  <si>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</si>
  <si>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</si>
  <si>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</si>
  <si>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</si>
  <si>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</si>
  <si>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</si>
  <si>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</si>
  <si>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</si>
  <si>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</si>
  <si>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</si>
  <si>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</si>
  <si>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</si>
  <si>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</si>
  <si>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</si>
  <si>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</si>
  <si>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</si>
  <si>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</si>
  <si>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</si>
  <si>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</si>
  <si>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</si>
  <si>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</si>
  <si>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</si>
  <si>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</si>
  <si>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</si>
  <si>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</si>
  <si>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</si>
  <si>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</si>
  <si>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</si>
  <si>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</si>
  <si>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</si>
  <si>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</si>
  <si>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</si>
  <si>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</si>
  <si>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</si>
  <si>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</si>
  <si>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</si>
  <si>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</si>
  <si>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</si>
  <si>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</si>
  <si>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</si>
  <si>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</si>
  <si>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</si>
  <si>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</si>
  <si>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</si>
  <si>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</si>
  <si>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</si>
  <si>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</si>
  <si>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</si>
  <si>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</si>
  <si>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</si>
  <si>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</si>
  <si>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</si>
  <si>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</si>
  <si>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</si>
  <si>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</si>
  <si>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</si>
  <si>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</si>
  <si>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</si>
  <si>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</si>
  <si>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</si>
  <si>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</si>
  <si>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</si>
  <si>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</si>
  <si>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</si>
  <si>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</si>
  <si>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</si>
  <si>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</si>
  <si>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</si>
  <si>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</si>
  <si>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</si>
  <si>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</si>
  <si>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</si>
  <si>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</si>
  <si>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</si>
  <si>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</si>
  <si>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</si>
  <si>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</si>
  <si>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</si>
  <si>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</si>
  <si>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</si>
  <si>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</si>
  <si>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</si>
  <si>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</si>
  <si>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</si>
  <si>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</si>
  <si>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</si>
  <si>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</si>
  <si>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</si>
  <si>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</si>
  <si>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</si>
  <si>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</si>
  <si>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</si>
  <si>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</si>
  <si>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</si>
  <si>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</si>
  <si>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</si>
  <si>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</si>
  <si>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</si>
  <si>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</si>
  <si>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</si>
  <si>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</si>
  <si>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</si>
  <si>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</si>
  <si>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</si>
  <si>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</si>
  <si>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</si>
  <si>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</si>
  <si>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</si>
  <si>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</si>
  <si>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</si>
  <si>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</si>
  <si>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</si>
  <si>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</si>
  <si>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</si>
  <si>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</si>
  <si>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</si>
  <si>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</si>
  <si>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</si>
  <si>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</si>
  <si>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</si>
  <si>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</si>
  <si>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</si>
  <si>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</si>
  <si>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</si>
  <si>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</si>
  <si>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</si>
  <si>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</si>
  <si>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</si>
  <si>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</si>
  <si>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</si>
  <si>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</si>
  <si>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</si>
  <si>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</si>
  <si>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</si>
  <si>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</si>
  <si>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</si>
  <si>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</si>
  <si>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</si>
  <si>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</si>
  <si>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</si>
  <si>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</si>
  <si>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</si>
  <si>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</si>
  <si>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</si>
  <si>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</si>
  <si>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</si>
  <si>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</si>
  <si>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</si>
  <si>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</si>
  <si>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</si>
  <si>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</si>
  <si>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</si>
  <si>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</si>
  <si>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</si>
  <si>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</si>
  <si>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</si>
  <si>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</si>
  <si>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</si>
  <si>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</si>
  <si>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</si>
  <si>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</si>
  <si>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</si>
  <si>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</si>
  <si>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</si>
  <si>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</si>
  <si>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</si>
  <si>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</si>
  <si>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</si>
  <si>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</si>
  <si>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</si>
  <si>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</si>
  <si>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</si>
  <si>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</si>
  <si>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</si>
  <si>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</si>
  <si>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</si>
  <si>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</si>
  <si>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</si>
  <si>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</si>
  <si>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</si>
  <si>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</si>
  <si>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</si>
  <si>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</si>
  <si>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</si>
  <si>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</si>
  <si>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</si>
  <si>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</si>
  <si>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</si>
  <si>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</si>
  <si>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</si>
  <si>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</si>
  <si>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</si>
  <si>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</si>
  <si>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</si>
  <si>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</si>
  <si>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</si>
  <si>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</si>
  <si>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</si>
  <si>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</si>
  <si>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</si>
  <si>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</si>
  <si>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</si>
  <si>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</si>
  <si>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</si>
  <si>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</si>
  <si>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</si>
  <si>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</si>
  <si>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</si>
  <si>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</si>
  <si>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</si>
  <si>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</si>
  <si>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</si>
  <si>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</si>
  <si>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</si>
  <si>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</si>
  <si>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</si>
  <si>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</si>
  <si>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</si>
  <si>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</si>
  <si>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</si>
  <si>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</si>
  <si>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</si>
  <si>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</si>
  <si>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</si>
  <si>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</si>
  <si>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</si>
  <si>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</si>
  <si>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</si>
  <si>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</si>
  <si>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</si>
  <si>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</si>
  <si>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</si>
  <si>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</si>
  <si>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</si>
  <si>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</si>
  <si>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</si>
  <si>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</si>
  <si>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</si>
  <si>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</si>
  <si>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</si>
  <si>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</si>
  <si>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</si>
  <si>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</si>
  <si>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</si>
  <si>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</si>
  <si>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</si>
  <si>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</si>
  <si>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</si>
  <si>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</si>
  <si>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</si>
  <si>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</si>
  <si>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</si>
  <si>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</si>
  <si>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</si>
  <si>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</si>
  <si>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</si>
  <si>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</si>
  <si>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</si>
  <si>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</si>
  <si>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</si>
  <si>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</si>
  <si>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</si>
  <si>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</si>
  <si>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</si>
  <si>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</si>
  <si>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</si>
  <si>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</si>
  <si>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</si>
  <si>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</si>
  <si>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</si>
  <si>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</si>
  <si>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</si>
  <si>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</si>
  <si>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</si>
  <si>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</si>
  <si>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</si>
  <si>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</si>
  <si>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</si>
  <si>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</si>
  <si>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</si>
  <si>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</si>
  <si>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</si>
  <si>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</si>
  <si>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</si>
  <si>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</si>
  <si>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</si>
  <si>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</si>
  <si>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</si>
  <si>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</si>
  <si>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</si>
  <si>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</si>
  <si>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</si>
  <si>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</si>
  <si>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</si>
  <si>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</si>
  <si>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</si>
  <si>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</si>
  <si>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</si>
  <si>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</si>
  <si>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</si>
  <si>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</si>
  <si>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</si>
  <si>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</si>
  <si>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</si>
  <si>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</si>
  <si>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</si>
  <si>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</si>
  <si>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</si>
  <si>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</si>
  <si>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</si>
  <si>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</si>
  <si>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</si>
  <si>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</si>
  <si>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</si>
  <si>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</si>
  <si>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</si>
  <si>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</si>
  <si>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</si>
  <si>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</si>
  <si>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</si>
  <si>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</si>
  <si>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</si>
  <si>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</si>
  <si>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</si>
  <si>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</si>
  <si>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</si>
  <si>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</si>
  <si>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</si>
  <si>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</si>
  <si>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</si>
  <si>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</si>
  <si>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</si>
  <si>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</si>
  <si>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</si>
  <si>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</si>
  <si>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</si>
  <si>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</si>
  <si>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</si>
  <si>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</si>
  <si>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</si>
  <si>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</si>
  <si>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</si>
  <si>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</si>
  <si>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</si>
  <si>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</si>
  <si>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</si>
  <si>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</si>
  <si>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</si>
  <si>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</si>
  <si>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</si>
  <si>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</si>
  <si>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</si>
  <si>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</si>
  <si>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</si>
  <si>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</si>
  <si>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</si>
  <si>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</si>
  <si>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</si>
  <si>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</si>
  <si>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</si>
  <si>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</si>
  <si>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</si>
  <si>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</si>
  <si>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</si>
  <si>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</si>
  <si>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</si>
  <si>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</si>
  <si>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</si>
  <si>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</si>
  <si>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</si>
  <si>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</si>
  <si>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</si>
  <si>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</si>
  <si>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</si>
  <si>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</si>
  <si>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</si>
  <si>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</si>
  <si>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</si>
  <si>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</si>
  <si>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</si>
  <si>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</si>
  <si>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</si>
  <si>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</si>
  <si>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</si>
  <si>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</si>
  <si>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</si>
  <si>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</si>
  <si>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</si>
  <si>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</si>
  <si>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</si>
  <si>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</si>
  <si>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</si>
  <si>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</si>
  <si>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</si>
  <si>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</si>
  <si>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</si>
  <si>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</si>
  <si>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</si>
  <si>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</si>
  <si>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</si>
  <si>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</si>
  <si>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</si>
  <si>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</si>
  <si>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</si>
  <si>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</si>
  <si>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</si>
  <si>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</si>
  <si>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</si>
  <si>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</si>
  <si>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</si>
  <si>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</si>
  <si>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</si>
  <si>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</si>
  <si>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</si>
  <si>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</si>
  <si>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</si>
  <si>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</si>
  <si>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</si>
  <si>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</si>
  <si>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</si>
  <si>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</si>
  <si>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</si>
  <si>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</si>
  <si>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</si>
  <si>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</si>
  <si>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</si>
  <si>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</si>
  <si>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</si>
  <si>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</si>
  <si>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</si>
  <si>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</si>
  <si>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</si>
  <si>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</si>
  <si>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</si>
  <si>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</si>
  <si>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</si>
  <si>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</si>
  <si>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</si>
  <si>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</si>
  <si>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</si>
  <si>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</si>
  <si>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</si>
  <si>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</si>
  <si>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</si>
  <si>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</si>
  <si>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</si>
  <si>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</si>
  <si>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</si>
  <si>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</si>
  <si>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</si>
  <si>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</si>
  <si>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</si>
  <si>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</si>
  <si>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</si>
  <si>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</si>
  <si>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</si>
  <si>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</si>
  <si>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</si>
  <si>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</si>
  <si>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</si>
  <si>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</si>
  <si>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</si>
  <si>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</si>
  <si>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</si>
  <si>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</si>
  <si>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</si>
  <si>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</si>
  <si>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</si>
  <si>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</si>
  <si>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</si>
  <si>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</si>
  <si>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</si>
  <si>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</si>
  <si>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</si>
  <si>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</si>
  <si>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</si>
  <si>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</si>
  <si>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</si>
  <si>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</si>
  <si>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</si>
  <si>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</si>
  <si>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</si>
  <si>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</si>
  <si>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</si>
  <si>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</si>
  <si>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</si>
  <si>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</si>
  <si>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</si>
  <si>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</si>
  <si>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</si>
  <si>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</si>
  <si>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</si>
  <si>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</si>
  <si>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</si>
  <si>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</si>
  <si>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</si>
  <si>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</si>
  <si>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</si>
  <si>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</si>
  <si>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</si>
  <si>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</si>
  <si>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</si>
  <si>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</si>
  <si>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</si>
  <si>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</si>
  <si>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</si>
  <si>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</si>
  <si>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</si>
  <si>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</si>
  <si>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</si>
  <si>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</si>
  <si>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</si>
  <si>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</si>
  <si>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</si>
  <si>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</si>
  <si>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</si>
  <si>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</si>
  <si>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</si>
  <si>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</si>
  <si>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</si>
  <si>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</si>
  <si>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</si>
  <si>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</si>
  <si>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</si>
  <si>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</si>
  <si>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</si>
  <si>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</si>
  <si>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</si>
  <si>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</si>
  <si>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</si>
  <si>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</si>
  <si>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</si>
  <si>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</si>
  <si>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</si>
  <si>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</si>
  <si>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</si>
  <si>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</si>
  <si>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</si>
  <si>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</si>
  <si>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</si>
  <si>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</si>
  <si>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</si>
  <si>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</si>
  <si>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</si>
  <si>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</si>
  <si>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</si>
  <si>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</si>
  <si>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</si>
  <si>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</si>
  <si>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</si>
  <si>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</si>
  <si>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</si>
  <si>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</si>
  <si>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</si>
  <si>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</si>
  <si>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</si>
  <si>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</si>
  <si>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</si>
  <si>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</si>
  <si>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</si>
  <si>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</si>
  <si>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</si>
  <si>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</si>
  <si>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</si>
  <si>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</si>
  <si>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</si>
  <si>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</si>
  <si>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</si>
  <si>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</si>
  <si>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</si>
  <si>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</si>
  <si>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</si>
  <si>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</si>
  <si>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</si>
  <si>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</si>
  <si>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</si>
  <si>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</si>
  <si>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</si>
  <si>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</si>
  <si>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</si>
  <si>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</si>
  <si>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</si>
  <si>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</si>
  <si>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</si>
  <si>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</si>
  <si>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</si>
  <si>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</si>
  <si>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</si>
  <si>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</si>
  <si>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</si>
  <si>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</si>
  <si>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</si>
  <si>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</si>
  <si>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</si>
  <si>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</si>
  <si>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</si>
  <si>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</si>
  <si>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</si>
  <si>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</si>
  <si>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</si>
  <si>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</si>
  <si>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</si>
  <si>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</si>
  <si>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</si>
  <si>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</si>
  <si>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</si>
  <si>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</si>
  <si>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</si>
  <si>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</si>
  <si>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</si>
  <si>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</si>
  <si>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</si>
  <si>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</si>
  <si>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</si>
  <si>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</si>
  <si>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</si>
  <si>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</si>
  <si>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</si>
  <si>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</si>
  <si>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</si>
  <si>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</si>
  <si>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</si>
  <si>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</si>
  <si>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</si>
  <si>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</si>
  <si>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</si>
  <si>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</si>
  <si>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</si>
  <si>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</si>
  <si>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</si>
  <si>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</si>
  <si>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</si>
  <si>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</si>
  <si>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</si>
  <si>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</si>
  <si>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</si>
  <si>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</si>
  <si>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</si>
  <si>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</si>
  <si>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</si>
  <si>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</si>
  <si>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</si>
  <si>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</si>
  <si>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</si>
  <si>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</si>
  <si>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</si>
  <si>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</si>
  <si>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</si>
  <si>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</si>
  <si>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</si>
  <si>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</si>
  <si>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</si>
  <si>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</si>
  <si>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</si>
  <si>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</si>
  <si>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</si>
  <si>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</si>
  <si>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</si>
  <si>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</si>
  <si>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</si>
  <si>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</si>
  <si>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</si>
  <si>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</si>
  <si>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</si>
  <si>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</si>
  <si>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</si>
  <si>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</si>
  <si>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</si>
  <si>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</si>
  <si>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</si>
  <si>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</si>
  <si>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</si>
  <si>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</si>
  <si>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</si>
  <si>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</si>
  <si>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</si>
  <si>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</si>
  <si>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</si>
  <si>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</si>
  <si>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</si>
  <si>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</si>
  <si>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</si>
  <si>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</si>
  <si>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</si>
  <si>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</si>
  <si>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</si>
  <si>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</si>
  <si>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</si>
  <si>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</si>
  <si>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</si>
  <si>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</si>
  <si>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</si>
  <si>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</si>
  <si>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</si>
  <si>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</si>
  <si>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</si>
  <si>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</si>
  <si>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</si>
  <si>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</si>
  <si>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</si>
  <si>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</si>
  <si>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</si>
  <si>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</si>
  <si>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</si>
  <si>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</si>
  <si>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</si>
  <si>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</si>
  <si>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</si>
  <si>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</si>
  <si>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</si>
  <si>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</si>
  <si>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</si>
  <si>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</si>
  <si>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</si>
  <si>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</si>
  <si>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</si>
  <si>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</si>
  <si>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</si>
  <si>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</si>
  <si>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</si>
  <si>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</si>
  <si>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</si>
  <si>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</si>
  <si>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</si>
  <si>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</si>
  <si>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</si>
  <si>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</si>
  <si>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</si>
  <si>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</si>
  <si>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</si>
  <si>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</si>
  <si>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</si>
  <si>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</si>
  <si>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</si>
  <si>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</si>
  <si>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</si>
  <si>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</si>
  <si>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</si>
  <si>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</si>
  <si>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</si>
  <si>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</si>
  <si>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</si>
  <si>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</si>
  <si>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</si>
  <si>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</si>
  <si>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</si>
  <si>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</si>
  <si>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</si>
  <si>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</si>
  <si>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</si>
  <si>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</si>
  <si>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</si>
  <si>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</si>
  <si>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</si>
  <si>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</si>
  <si>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</si>
  <si>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</si>
  <si>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</si>
  <si>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</si>
  <si>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</si>
  <si>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</si>
  <si>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</si>
  <si>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</si>
  <si>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</si>
  <si>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</si>
  <si>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</si>
  <si>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</si>
  <si>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</si>
  <si>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</si>
  <si>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</si>
  <si>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</si>
  <si>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</si>
  <si>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</si>
  <si>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</si>
  <si>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</si>
  <si>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</si>
  <si>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</si>
  <si>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</si>
  <si>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</si>
  <si>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</si>
  <si>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</si>
  <si>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</si>
  <si>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</si>
  <si>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</si>
  <si>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</si>
  <si>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</si>
  <si>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</si>
  <si>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</si>
  <si>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</si>
  <si>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</si>
  <si>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</si>
  <si>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</si>
  <si>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</si>
  <si>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</si>
  <si>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</si>
  <si>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</si>
  <si>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</si>
  <si>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</si>
  <si>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</si>
  <si>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</si>
  <si>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</si>
  <si>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</si>
  <si>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</si>
  <si>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</si>
  <si>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</si>
  <si>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</si>
  <si>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</si>
  <si>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</si>
  <si>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</si>
  <si>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</si>
  <si>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</si>
  <si>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</si>
  <si>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</si>
  <si>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</si>
  <si>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</si>
  <si>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</si>
  <si>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</si>
  <si>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</si>
  <si>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</si>
  <si>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</si>
  <si>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</si>
  <si>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</si>
  <si>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</si>
  <si>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</si>
  <si>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</si>
  <si>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</si>
  <si>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</si>
  <si>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</si>
  <si>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</si>
  <si>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</si>
  <si>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</si>
  <si>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</si>
  <si>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</si>
  <si>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</si>
  <si>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</si>
  <si>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</si>
  <si>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</si>
  <si>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</si>
  <si>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</si>
  <si>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</si>
  <si>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</si>
  <si>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</si>
  <si>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</si>
  <si>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</si>
  <si>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</si>
  <si>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</si>
  <si>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</si>
  <si>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</si>
  <si>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</si>
  <si>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</si>
  <si>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</si>
  <si>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</si>
  <si>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</si>
  <si>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</si>
  <si>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</si>
  <si>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</si>
  <si>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</si>
  <si>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</si>
  <si>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</si>
  <si>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</si>
  <si>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</si>
  <si>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</si>
  <si>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</si>
  <si>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</si>
  <si>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</si>
  <si>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</si>
  <si>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</si>
  <si>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</si>
  <si>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</si>
  <si>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</si>
  <si>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</si>
  <si>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</si>
  <si>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</si>
  <si>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</si>
  <si>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</si>
  <si>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</si>
  <si>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</si>
  <si>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</si>
  <si>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</si>
  <si>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</si>
  <si>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</si>
  <si>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</si>
  <si>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</si>
  <si>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</si>
  <si>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</si>
  <si>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</si>
  <si>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</si>
  <si>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</si>
  <si>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</si>
  <si>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</si>
  <si>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</si>
  <si>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</si>
  <si>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</si>
  <si>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</si>
  <si>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</si>
  <si>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</si>
  <si>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</si>
  <si>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</si>
  <si>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</si>
  <si>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</si>
  <si>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</si>
  <si>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</si>
  <si>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</si>
  <si>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</si>
  <si>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</si>
  <si>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</si>
  <si>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</si>
  <si>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</si>
  <si>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</si>
  <si>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</si>
  <si>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</si>
  <si>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</si>
  <si>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</si>
  <si>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</si>
  <si>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</si>
  <si>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</si>
  <si>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</si>
  <si>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</si>
  <si>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</si>
  <si>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</si>
  <si>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</si>
  <si>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</si>
  <si>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</si>
  <si>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</si>
  <si>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</si>
  <si>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</si>
  <si>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</si>
  <si>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</si>
  <si>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</si>
  <si>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</si>
  <si>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</si>
  <si>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</si>
  <si>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</si>
  <si>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</si>
  <si>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</si>
  <si>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</si>
  <si>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</si>
  <si>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</si>
  <si>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</si>
  <si>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</si>
  <si>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</si>
  <si>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</si>
  <si>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</si>
  <si>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</si>
  <si>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</si>
  <si>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</si>
  <si>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</si>
  <si>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</si>
  <si>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</si>
  <si>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</si>
  <si>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</si>
  <si>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</si>
  <si>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</si>
  <si>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</si>
  <si>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</si>
  <si>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</si>
  <si>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</si>
  <si>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</si>
  <si>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</si>
  <si>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</si>
  <si>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</si>
  <si>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</si>
  <si>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</si>
  <si>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</si>
  <si>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</si>
  <si>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</si>
  <si>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</si>
  <si>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</si>
  <si>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</si>
  <si>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</si>
  <si>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</si>
  <si>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</si>
  <si>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</si>
  <si>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</si>
  <si>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</si>
  <si>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</si>
  <si>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</si>
  <si>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</si>
  <si>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</si>
  <si>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</si>
  <si>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</si>
  <si>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</si>
  <si>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</si>
  <si>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</si>
  <si>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</si>
  <si>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</si>
  <si>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</si>
  <si>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</si>
  <si>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</si>
  <si>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</si>
  <si>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</si>
  <si>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</si>
  <si>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</si>
  <si>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</si>
  <si>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</si>
  <si>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</si>
  <si>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</si>
  <si>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</si>
  <si>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</si>
  <si>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</si>
  <si>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</si>
  <si>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</si>
  <si>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</si>
  <si>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</si>
  <si>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</si>
  <si>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</si>
  <si>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</si>
  <si>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</si>
  <si>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</si>
  <si>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</si>
  <si>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</si>
  <si>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</si>
  <si>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</si>
  <si>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</si>
  <si>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</si>
  <si>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</si>
  <si>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</si>
  <si>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</si>
  <si>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</si>
  <si>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</si>
  <si>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</si>
  <si>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</si>
  <si>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</si>
  <si>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</si>
  <si>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</si>
  <si>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</si>
  <si>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</si>
  <si>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</si>
  <si>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</si>
  <si>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</si>
  <si>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</si>
  <si>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</si>
  <si>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</si>
  <si>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</si>
  <si>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</si>
  <si>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</si>
  <si>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</si>
  <si>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</si>
  <si>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</si>
  <si>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</si>
  <si>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</si>
  <si>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</si>
  <si>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</si>
  <si>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</si>
  <si>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</si>
  <si>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</si>
  <si>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</si>
  <si>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</si>
  <si>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</si>
  <si>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</si>
  <si>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</si>
  <si>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</si>
  <si>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</si>
  <si>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</si>
  <si>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</si>
  <si>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</si>
  <si>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</si>
  <si>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</si>
  <si>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</si>
  <si>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</si>
  <si>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</si>
  <si>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</si>
  <si>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</si>
  <si>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</si>
  <si>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</si>
  <si>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</si>
  <si>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</si>
  <si>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</si>
  <si>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</si>
  <si>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</si>
  <si>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</si>
  <si>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</si>
  <si>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</si>
  <si>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</si>
  <si>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</si>
  <si>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</si>
  <si>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</si>
  <si>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</si>
  <si>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</si>
  <si>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</si>
  <si>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</si>
  <si>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</si>
  <si>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</si>
  <si>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</si>
  <si>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</si>
  <si>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</si>
  <si>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</si>
  <si>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</si>
  <si>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</si>
  <si>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</si>
  <si>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</si>
  <si>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</si>
  <si>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</si>
  <si>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</si>
  <si>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</si>
  <si>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</si>
  <si>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</si>
  <si>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</si>
  <si>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</si>
  <si>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</si>
  <si>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</si>
  <si>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</si>
  <si>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</si>
  <si>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</si>
  <si>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</si>
  <si>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</si>
  <si>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</si>
  <si>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</si>
  <si>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</si>
  <si>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</si>
  <si>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</si>
  <si>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</si>
  <si>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</si>
  <si>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</si>
  <si>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</si>
  <si>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</si>
  <si>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</si>
  <si>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</si>
  <si>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</si>
  <si>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</si>
  <si>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</si>
  <si>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</si>
  <si>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</si>
  <si>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</si>
  <si>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</si>
  <si>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</si>
  <si>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</si>
  <si>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</si>
  <si>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</si>
  <si>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</si>
  <si>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</si>
  <si>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</si>
  <si>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</si>
  <si>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</si>
  <si>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</si>
  <si>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</si>
  <si>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</si>
  <si>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</si>
  <si>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</si>
  <si>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</si>
  <si>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</si>
  <si>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</si>
  <si>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</si>
  <si>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</si>
  <si>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</si>
  <si>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</si>
  <si>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</si>
  <si>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</si>
  <si>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</si>
  <si>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</si>
  <si>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</si>
  <si>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</si>
  <si>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</si>
  <si>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</si>
  <si>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</si>
  <si>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</si>
  <si>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</si>
  <si>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</si>
  <si>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</si>
  <si>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</si>
  <si>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</si>
  <si>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</si>
  <si>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</si>
  <si>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</si>
  <si>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</si>
  <si>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</si>
  <si>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</si>
  <si>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</si>
  <si>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</si>
  <si>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</si>
  <si>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</si>
  <si>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</si>
  <si>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</si>
  <si>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</si>
  <si>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</si>
  <si>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</si>
  <si>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</si>
  <si>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</si>
  <si>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</si>
  <si>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</si>
  <si>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</si>
  <si>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</si>
  <si>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</si>
  <si>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</si>
  <si>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</si>
  <si>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</si>
  <si>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</si>
  <si>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</si>
  <si>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</si>
  <si>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</si>
  <si>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</si>
  <si>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</si>
  <si>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</si>
  <si>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</si>
  <si>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</si>
  <si>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</si>
  <si>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</si>
  <si>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</si>
  <si>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</si>
  <si>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</si>
  <si>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</si>
  <si>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</si>
  <si>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</si>
  <si>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</si>
  <si>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</si>
  <si>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</si>
  <si>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</si>
  <si>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</si>
  <si>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</si>
  <si>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</si>
  <si>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</si>
  <si>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</si>
  <si>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</si>
  <si>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</si>
  <si>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</si>
  <si>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</si>
  <si>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</si>
  <si>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</si>
  <si>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</si>
  <si>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</si>
  <si>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</si>
  <si>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</si>
  <si>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</si>
  <si>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</si>
  <si>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</si>
  <si>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</si>
  <si>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</si>
  <si>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</si>
  <si>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</si>
  <si>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</si>
  <si>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</si>
  <si>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</si>
  <si>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</si>
  <si>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</si>
  <si>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</si>
  <si>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</si>
  <si>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</si>
  <si>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</si>
  <si>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</si>
  <si>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</si>
  <si>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</si>
  <si>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</si>
  <si>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</si>
  <si>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</si>
  <si>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</si>
  <si>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</si>
  <si>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</si>
  <si>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</si>
  <si>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</si>
  <si>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</si>
  <si>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</si>
  <si>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</si>
  <si>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</si>
  <si>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</si>
  <si>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</si>
  <si>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</si>
  <si>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</si>
  <si>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</si>
  <si>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</si>
  <si>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</si>
  <si>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</si>
  <si>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</si>
  <si>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</si>
  <si>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</si>
  <si>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</si>
  <si>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</si>
  <si>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</si>
  <si>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</si>
  <si>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</si>
  <si>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</si>
  <si>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</si>
  <si>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</si>
  <si>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</si>
  <si>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</si>
  <si>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</si>
  <si>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</si>
  <si>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</si>
  <si>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</si>
  <si>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</si>
  <si>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</si>
  <si>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</si>
  <si>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</si>
  <si>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</si>
  <si>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</si>
  <si>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</si>
  <si>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</si>
  <si>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</si>
  <si>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</si>
  <si>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</si>
  <si>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</si>
  <si>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</si>
  <si>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</si>
  <si>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</si>
  <si>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</si>
  <si>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</si>
  <si>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</si>
  <si>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</si>
  <si>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</si>
  <si>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</si>
  <si>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</si>
  <si>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</si>
  <si>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</si>
  <si>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</si>
  <si>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</si>
  <si>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</si>
  <si>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</si>
  <si>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</si>
  <si>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</si>
  <si>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</si>
  <si>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</si>
  <si>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</si>
  <si>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</si>
  <si>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</si>
  <si>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</si>
  <si>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</si>
  <si>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</si>
  <si>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</si>
  <si>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</si>
  <si>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</si>
  <si>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</si>
  <si>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</si>
  <si>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</si>
  <si>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</si>
  <si>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</si>
  <si>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</si>
  <si>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</si>
  <si>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</si>
  <si>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</si>
  <si>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</si>
  <si>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</si>
  <si>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</si>
  <si>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</si>
  <si>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</si>
  <si>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</si>
  <si>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</si>
  <si>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</si>
  <si>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</si>
  <si>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</si>
  <si>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</si>
  <si>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</si>
  <si>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</si>
  <si>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</si>
  <si>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</si>
  <si>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</si>
  <si>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</si>
  <si>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</si>
  <si>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</si>
  <si>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</si>
  <si>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</si>
  <si>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</si>
  <si>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</si>
  <si>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</si>
  <si>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</si>
  <si>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</si>
  <si>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</si>
  <si>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</si>
  <si>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</si>
  <si>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</si>
  <si>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</si>
  <si>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</si>
  <si>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</si>
  <si>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</si>
  <si>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</si>
  <si>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</si>
  <si>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</si>
  <si>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</si>
  <si>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</si>
  <si>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</si>
  <si>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</si>
  <si>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</si>
  <si>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</si>
  <si>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</si>
  <si>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</si>
  <si>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</si>
  <si>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</si>
  <si>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</si>
  <si>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</si>
  <si>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</si>
  <si>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</si>
  <si>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</si>
  <si>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</si>
  <si>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</si>
  <si>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</si>
  <si>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</si>
  <si>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</si>
  <si>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</si>
  <si>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</si>
  <si>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</si>
  <si>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</si>
  <si>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</si>
  <si>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</si>
  <si>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</si>
  <si>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</si>
  <si>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</si>
  <si>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</si>
  <si>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</si>
  <si>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</si>
  <si>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</si>
  <si>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</si>
  <si>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</si>
  <si>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</si>
  <si>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</si>
  <si>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</si>
  <si>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</si>
  <si>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</si>
  <si>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</si>
  <si>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</si>
  <si>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</si>
  <si>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</si>
  <si>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</si>
  <si>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</si>
  <si>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</si>
  <si>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</si>
  <si>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</si>
  <si>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</si>
  <si>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</si>
  <si>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</si>
  <si>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</si>
  <si>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</si>
  <si>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</si>
  <si>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</si>
  <si>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</si>
  <si>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</si>
  <si>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</si>
  <si>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</si>
  <si>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</si>
  <si>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</si>
  <si>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</si>
  <si>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</si>
  <si>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</si>
  <si>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</si>
  <si>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</si>
  <si>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</si>
  <si>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</si>
  <si>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</si>
  <si>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</si>
  <si>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</si>
  <si>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</si>
  <si>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</si>
  <si>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</si>
  <si>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</si>
  <si>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</si>
  <si>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</si>
  <si>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</si>
  <si>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</si>
  <si>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</si>
  <si>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</si>
  <si>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</si>
  <si>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</si>
  <si>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</si>
  <si>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</si>
  <si>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</si>
  <si>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</si>
  <si>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</si>
  <si>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</si>
  <si>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</si>
  <si>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</si>
  <si>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</si>
  <si>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</si>
  <si>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</si>
  <si>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</si>
  <si>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</si>
  <si>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</si>
  <si>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</si>
  <si>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</si>
  <si>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</si>
  <si>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</si>
  <si>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</si>
  <si>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</si>
  <si>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</si>
  <si>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</si>
  <si>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</si>
  <si>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</si>
  <si>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</si>
  <si>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</si>
  <si>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</si>
  <si>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</si>
  <si>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</si>
  <si>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</si>
  <si>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</si>
  <si>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</si>
  <si>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</si>
  <si>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</si>
  <si>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</si>
  <si>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</si>
  <si>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</si>
  <si>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</si>
  <si>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</si>
  <si>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</si>
  <si>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</si>
  <si>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</si>
  <si>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</si>
  <si>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</si>
  <si>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</si>
  <si>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</si>
  <si>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</si>
  <si>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</si>
  <si>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</si>
  <si>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</si>
  <si>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</si>
  <si>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</si>
  <si>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</si>
  <si>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</si>
  <si>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</si>
  <si>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</si>
  <si>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</si>
  <si>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</si>
  <si>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</si>
  <si>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</si>
  <si>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</si>
  <si>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</si>
  <si>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</si>
  <si>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</si>
  <si>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</si>
  <si>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</si>
  <si>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</si>
  <si>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</si>
  <si>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</si>
  <si>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</si>
  <si>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</si>
  <si>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</si>
  <si>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</si>
  <si>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</si>
  <si>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</si>
  <si>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</si>
  <si>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</si>
  <si>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</si>
  <si>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</si>
  <si>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</si>
  <si>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</si>
  <si>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</si>
  <si>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</si>
  <si>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</si>
  <si>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</si>
  <si>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</si>
  <si>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</si>
  <si>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</si>
  <si>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</si>
  <si>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</si>
  <si>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</si>
  <si>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</si>
  <si>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</si>
  <si>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</si>
  <si>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</si>
  <si>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</si>
  <si>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</si>
  <si>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</si>
  <si>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</si>
  <si>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</si>
  <si>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</si>
  <si>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</si>
  <si>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</si>
  <si>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</si>
  <si>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</si>
  <si>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</si>
  <si>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</si>
  <si>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</si>
  <si>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</si>
  <si>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</si>
  <si>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</si>
  <si>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</si>
  <si>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</si>
  <si>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</si>
  <si>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</si>
  <si>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</si>
  <si>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</si>
  <si>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</si>
  <si>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</si>
  <si>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</si>
  <si>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</si>
  <si>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</si>
  <si>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</si>
  <si>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</si>
  <si>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</si>
  <si>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</si>
  <si>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</si>
  <si>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</si>
  <si>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</si>
  <si>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</si>
  <si>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</si>
  <si>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</si>
  <si>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</si>
  <si>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</si>
  <si>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</si>
  <si>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</si>
  <si>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</si>
  <si>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</si>
  <si>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</si>
  <si>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</si>
  <si>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</si>
  <si>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</si>
  <si>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</si>
  <si>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</si>
  <si>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</si>
  <si>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</si>
  <si>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</si>
  <si>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</si>
  <si>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</si>
  <si>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</si>
  <si>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</si>
  <si>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</si>
  <si>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</si>
  <si>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</si>
  <si>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</si>
  <si>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</si>
  <si>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</si>
  <si>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</si>
  <si>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</si>
  <si>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</si>
  <si>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</si>
  <si>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</si>
  <si>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</si>
  <si>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</si>
  <si>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</si>
  <si>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</si>
  <si>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</si>
  <si>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</si>
  <si>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</si>
  <si>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</si>
  <si>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</si>
  <si>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</si>
  <si>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</si>
  <si>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</si>
  <si>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</si>
  <si>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</si>
  <si>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</si>
  <si>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</si>
  <si>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</si>
  <si>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</si>
  <si>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</si>
  <si>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</si>
  <si>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</si>
  <si>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</si>
  <si>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</si>
  <si>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</si>
  <si>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</si>
  <si>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</si>
  <si>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</si>
  <si>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</si>
  <si>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</si>
  <si>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</si>
  <si>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</si>
  <si>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</si>
  <si>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</si>
  <si>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</si>
  <si>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</si>
  <si>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</si>
  <si>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</si>
  <si>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</si>
  <si>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</si>
  <si>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</si>
  <si>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</si>
  <si>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</si>
  <si>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</si>
  <si>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</si>
  <si>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</si>
  <si>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</si>
  <si>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</si>
  <si>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</si>
  <si>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</si>
  <si>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</si>
  <si>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</si>
  <si>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</si>
  <si>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</si>
  <si>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</si>
  <si>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</si>
  <si>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</si>
  <si>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</si>
  <si>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</si>
  <si>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</si>
  <si>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</si>
  <si>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</si>
  <si>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</si>
  <si>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</si>
  <si>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</si>
  <si>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</si>
  <si>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</si>
  <si>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</si>
  <si>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</si>
  <si>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</si>
  <si>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</si>
  <si>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</si>
  <si>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</si>
  <si>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</si>
  <si>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</si>
  <si>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</si>
  <si>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</si>
  <si>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</si>
  <si>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</si>
  <si>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</si>
  <si>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</si>
  <si>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</si>
  <si>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</si>
  <si>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</si>
  <si>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</si>
  <si>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</si>
  <si>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</si>
  <si>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</si>
  <si>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</si>
  <si>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</si>
  <si>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</si>
  <si>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</si>
  <si>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DEL 01 DE ENERO 2022 A FECHA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</si>
</sst>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226">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Border="1" applyAlignment="1">
      <alignment horizontal="center" vertical="center"/>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4" fontId="29" fillId="0" borderId="2" xfId="2" applyNumberFormat="1" applyBorder="1" applyAlignment="1" applyProtection="1">
      <alignment horizontal="center" vertical="center" wrapText="1"/>
    </xf>
    <xf numFmtId="169" fontId="0" fillId="10" borderId="83" xfId="0" applyNumberFormat="1" applyFill="1" applyBorder="1" applyAlignment="1">
      <alignment horizontal="center" vertical="center"/>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10" borderId="47"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4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29" fillId="14" borderId="30" xfId="2" applyFill="1" applyBorder="1" applyAlignment="1" applyProtection="1">
      <alignment horizontal="center" vertical="center"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165" fontId="0" fillId="10" borderId="27" xfId="0" applyNumberFormat="1" applyFill="1" applyBorder="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65" fontId="0" fillId="10" borderId="51" xfId="0" applyNumberFormat="1" applyFill="1" applyBorder="1" applyAlignment="1">
      <alignment horizontal="center" vertical="center" wrapText="1"/>
    </xf>
    <xf numFmtId="0" fontId="0" fillId="10" borderId="51" xfId="0" applyFill="1" applyBorder="1" applyAlignment="1">
      <alignment horizontal="center" vertical="center" wrapText="1"/>
    </xf>
    <xf numFmtId="0" fontId="26" fillId="10" borderId="1" xfId="0" applyFont="1" applyFill="1" applyBorder="1" applyAlignment="1">
      <alignment horizontal="left" vertical="center" wrapText="1"/>
    </xf>
    <xf numFmtId="0" fontId="13" fillId="10" borderId="45" xfId="0" applyFont="1" applyFill="1" applyBorder="1" applyAlignment="1">
      <alignment horizontal="center" vertical="center" wrapText="1"/>
    </xf>
    <xf numFmtId="20" fontId="0" fillId="10" borderId="45" xfId="1" applyNumberFormat="1" applyFont="1" applyFill="1" applyBorder="1" applyAlignment="1">
      <alignment horizontal="center" vertical="center"/>
    </xf>
    <xf numFmtId="169" fontId="26" fillId="10" borderId="116" xfId="0" applyNumberFormat="1" applyFont="1" applyFill="1" applyBorder="1" applyAlignment="1">
      <alignment horizontal="center" vertical="center" wrapText="1"/>
    </xf>
    <xf numFmtId="165" fontId="0" fillId="10" borderId="46" xfId="0" applyNumberFormat="1" applyFill="1" applyBorder="1" applyAlignment="1">
      <alignment horizontal="center" vertical="center" wrapText="1"/>
    </xf>
    <xf numFmtId="14" fontId="29" fillId="14" borderId="5" xfId="2" applyNumberFormat="1" applyFill="1" applyBorder="1" applyAlignment="1" applyProtection="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169" fontId="13" fillId="10" borderId="116" xfId="0" applyNumberFormat="1" applyFont="1" applyFill="1" applyBorder="1" applyAlignment="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44" fontId="0" fillId="0" borderId="57" xfId="1" applyFont="1" applyBorder="1" applyAlignment="1">
      <alignment horizontal="center" vertical="center"/>
    </xf>
    <xf numFmtId="165" fontId="0" fillId="0" borderId="57" xfId="0" applyNumberForma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173" fontId="0" fillId="10" borderId="33" xfId="0" applyNumberFormat="1" applyFill="1" applyBorder="1" applyAlignment="1">
      <alignment horizontal="center" vertical="center" wrapText="1"/>
    </xf>
    <xf numFmtId="9" fontId="0" fillId="1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44" fontId="0" fillId="0" borderId="1" xfId="0" applyNumberFormat="1" applyBorder="1" applyAlignment="1">
      <alignment horizontal="center" vertical="center"/>
    </xf>
    <xf numFmtId="14" fontId="0" fillId="0" borderId="106" xfId="0" applyNumberFormat="1" applyBorder="1" applyAlignment="1">
      <alignment horizontal="center" vertical="center"/>
    </xf>
    <xf numFmtId="0" fontId="26" fillId="0" borderId="0" xfId="0" applyFont="1" applyAlignment="1">
      <alignment vertical="center" wrapText="1"/>
    </xf>
    <xf numFmtId="14" fontId="10" fillId="0" borderId="33" xfId="0" applyNumberFormat="1" applyFont="1" applyBorder="1" applyAlignment="1">
      <alignment horizontal="center" vertical="center"/>
    </xf>
    <xf numFmtId="0" fontId="48" fillId="0" borderId="1" xfId="0" applyFont="1" applyBorder="1" applyAlignment="1">
      <alignment horizontal="left" vertical="center" wrapText="1"/>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7" fillId="14" borderId="1" xfId="0" applyFont="1" applyFill="1" applyBorder="1" applyAlignment="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44" fontId="47" fillId="0" borderId="0" xfId="0" applyNumberFormat="1" applyFont="1"/>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0" borderId="51" xfId="0" applyNumberFormat="1" applyBorder="1" applyAlignment="1">
      <alignment horizontal="center" vertical="center" wrapText="1"/>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165" fontId="0" fillId="0" borderId="136" xfId="0" applyNumberFormat="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0" fontId="0" fillId="0" borderId="137" xfId="0" applyBorder="1" applyAlignment="1">
      <alignment horizontal="center" vertical="center" wrapText="1"/>
    </xf>
    <xf numFmtId="0" fontId="0" fillId="14" borderId="50" xfId="0" applyFill="1" applyBorder="1" applyAlignment="1">
      <alignment horizontal="center" vertical="center" wrapText="1"/>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xf numFmtId="0" fontId="0" fillId="0" borderId="8" xfId="0" applyFill="1" applyBorder="1" applyAlignment="1">
      <alignment horizontal="center" vertical="center" textRotation="90"/>
    </xf>
    <xf numFmtId="0" fontId="0" fillId="0" borderId="2" xfId="0" applyFill="1" applyBorder="1" applyAlignment="1">
      <alignment horizontal="center" vertical="center" textRotation="90"/>
    </xf>
    <xf numFmtId="0" fontId="0" fillId="0" borderId="1"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 xfId="0" applyFill="1" applyBorder="1" applyAlignment="1">
      <alignment horizontal="center" vertical="center"/>
    </xf>
    <xf numFmtId="0" fontId="0" fillId="0" borderId="1" xfId="0"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2" xfId="0" applyFill="1" applyBorder="1" applyAlignment="1">
      <alignment horizontal="center" vertical="center" wrapText="1"/>
    </xf>
    <xf numFmtId="0" fontId="26" fillId="0" borderId="1" xfId="0" applyFont="1" applyFill="1" applyBorder="1" applyAlignment="1">
      <alignment horizontal="left" vertical="center" wrapText="1"/>
    </xf>
    <xf numFmtId="0" fontId="0" fillId="0" borderId="0" xfId="0" applyFill="1" applyAlignment="1">
      <alignment horizontal="center" vertical="center" textRotation="90"/>
    </xf>
    <xf numFmtId="0" fontId="0" fillId="0" borderId="0" xfId="0" applyFill="1"/>
    <xf numFmtId="0" fontId="0" fillId="0" borderId="0" xfId="0" applyFill="1" applyAlignment="1">
      <alignment horizontal="center" vertical="center"/>
    </xf>
    <xf numFmtId="0" fontId="30" fillId="0" borderId="0" xfId="0" applyFont="1" applyFill="1"/>
    <xf numFmtId="0" fontId="0" fillId="0" borderId="0" xfId="0" applyFill="1" applyAlignment="1">
      <alignment horizontal="center" vertical="center" wrapText="1"/>
    </xf>
    <xf numFmtId="0" fontId="0" fillId="0" borderId="0" xfId="0" applyFill="1" applyAlignment="1">
      <alignment horizontal="left" vertical="center" wrapText="1"/>
    </xf>
    <xf numFmtId="14" fontId="0" fillId="0" borderId="0" xfId="0" applyNumberFormat="1" applyFill="1" applyAlignment="1">
      <alignment wrapText="1"/>
    </xf>
    <xf numFmtId="169" fontId="0" fillId="0" borderId="0" xfId="0" applyNumberFormat="1" applyFill="1"/>
    <xf numFmtId="14" fontId="0" fillId="0" borderId="1" xfId="0" applyNumberFormat="1" applyFill="1" applyBorder="1" applyAlignment="1">
      <alignment horizontal="center" vertical="center"/>
    </xf>
    <xf numFmtId="14" fontId="0" fillId="0" borderId="4" xfId="0" applyNumberFormat="1" applyFill="1" applyBorder="1" applyAlignment="1">
      <alignment horizontal="center" vertical="center"/>
    </xf>
    <xf numFmtId="44" fontId="0" fillId="0" borderId="46" xfId="0" applyNumberFormat="1" applyFill="1" applyBorder="1" applyAlignment="1">
      <alignment horizontal="center" vertical="center"/>
    </xf>
    <xf numFmtId="169" fontId="0" fillId="0" borderId="83" xfId="0" applyNumberFormat="1" applyFill="1" applyBorder="1" applyAlignment="1">
      <alignment horizontal="center" vertical="center"/>
    </xf>
    <xf numFmtId="169" fontId="0" fillId="0" borderId="116" xfId="0" applyNumberFormat="1" applyFill="1" applyBorder="1" applyAlignment="1">
      <alignment horizontal="center" vertical="center" wrapText="1"/>
    </xf>
    <xf numFmtId="0" fontId="0" fillId="0" borderId="46" xfId="0" applyFill="1" applyBorder="1" applyAlignment="1">
      <alignment horizontal="center" vertical="center" wrapText="1"/>
    </xf>
    <xf numFmtId="0" fontId="0" fillId="0" borderId="45" xfId="0" applyFill="1" applyBorder="1" applyAlignment="1">
      <alignment horizontal="center" vertical="center" wrapText="1"/>
    </xf>
    <xf numFmtId="0" fontId="0" fillId="0" borderId="47" xfId="0" applyFill="1" applyBorder="1" applyAlignment="1">
      <alignment horizontal="center" vertical="center" wrapText="1"/>
    </xf>
    <xf numFmtId="0" fontId="0" fillId="0" borderId="8" xfId="0" applyFill="1" applyBorder="1" applyAlignment="1">
      <alignment horizontal="center" vertical="center"/>
    </xf>
    <xf numFmtId="2" fontId="0" fillId="0" borderId="47" xfId="0" applyNumberFormat="1" applyFill="1" applyBorder="1" applyAlignment="1">
      <alignment horizontal="center" vertical="center" wrapText="1"/>
    </xf>
    <xf numFmtId="0" fontId="0" fillId="0" borderId="4" xfId="0" applyFill="1" applyBorder="1" applyAlignment="1">
      <alignment horizontal="center" vertical="center" wrapText="1"/>
    </xf>
    <xf numFmtId="169" fontId="0" fillId="0" borderId="116" xfId="0" applyNumberFormat="1" applyFill="1" applyBorder="1" applyAlignment="1">
      <alignment horizontal="center" vertical="center"/>
    </xf>
    <xf numFmtId="0" fontId="0" fillId="0" borderId="27" xfId="0"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3" fontId="0" fillId="0" borderId="1" xfId="0" applyNumberFormat="1" applyFill="1" applyBorder="1" applyAlignment="1">
      <alignment horizontal="center" vertical="center" wrapText="1"/>
    </xf>
    <xf numFmtId="173" fontId="0" fillId="0" borderId="33" xfId="0" applyNumberFormat="1" applyFill="1" applyBorder="1" applyAlignment="1">
      <alignment horizontal="center" vertical="center" wrapText="1"/>
    </xf>
    <xf numFmtId="0" fontId="29" fillId="0" borderId="8" xfId="2" applyFill="1" applyBorder="1" applyAlignment="1" applyProtection="1">
      <alignment horizontal="left" vertical="center" wrapText="1"/>
    </xf>
    <xf numFmtId="2" fontId="0" fillId="0" borderId="8" xfId="0" applyNumberFormat="1" applyFill="1" applyBorder="1" applyAlignment="1">
      <alignment horizontal="center" vertic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printerSettings" Target="../printerSettings/printerSettings2.bin"/><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printerSettings" Target="../printerSettings/printerSettings4.bin"/><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31"/>
  <sheetViews>
    <sheetView view="pageBreakPreview" topLeftCell="C1" zoomScale="55" zoomScaleSheetLayoutView="55" workbookViewId="0">
      <selection activeCell="Q905" sqref="Q905"/>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45" t="s">
        <v>4620</v>
      </c>
      <c r="C1" s="2045"/>
      <c r="D1" s="2045"/>
      <c r="E1" s="2045"/>
      <c r="F1" s="2045"/>
      <c r="G1" s="2045"/>
      <c r="H1" s="2045"/>
      <c r="I1" s="2045"/>
      <c r="J1" s="2045"/>
      <c r="K1" s="2045"/>
      <c r="L1" s="2046"/>
      <c r="M1" s="2046"/>
      <c r="N1" s="2045"/>
      <c r="O1" s="2045"/>
      <c r="P1" s="2045"/>
      <c r="Q1" s="2045"/>
      <c r="R1" s="2045"/>
      <c r="S1" s="2045"/>
      <c r="T1" s="2045"/>
      <c r="U1" s="2045"/>
      <c r="V1" s="2045"/>
      <c r="W1" s="1633"/>
      <c r="X1" s="1633"/>
      <c r="Y1" s="1633"/>
      <c r="Z1" s="1633"/>
      <c r="AA1" s="1633"/>
      <c r="AB1" s="1633"/>
      <c r="AC1" s="1633"/>
      <c r="AD1" s="1633"/>
      <c r="AE1" s="1633"/>
      <c r="AF1" s="1633"/>
      <c r="AG1" s="1633"/>
      <c r="AH1" s="1633"/>
      <c r="AI1" s="1633"/>
      <c r="AJ1" s="1633"/>
      <c r="AK1" s="1633"/>
      <c r="AL1" s="1633"/>
      <c r="AM1" s="1633"/>
      <c r="AN1" s="1633"/>
      <c r="AO1" s="1633"/>
      <c r="AP1" s="1633"/>
      <c r="AQ1" s="1633"/>
      <c r="AR1" s="1633"/>
      <c r="AS1" s="1633"/>
      <c r="AT1" s="1633"/>
      <c r="AU1" s="1633"/>
      <c r="AV1" s="1633"/>
      <c r="AW1" s="1633"/>
      <c r="AX1" s="1633"/>
      <c r="AY1" s="1633"/>
      <c r="AZ1" s="1633"/>
      <c r="BA1" s="1633"/>
      <c r="BB1" s="1633"/>
      <c r="BC1" s="1633"/>
      <c r="BD1" s="1633"/>
      <c r="BE1" s="1633"/>
      <c r="BF1" s="1633"/>
      <c r="BG1" s="1633"/>
      <c r="BH1" s="1633"/>
      <c r="BI1" s="1633"/>
      <c r="BJ1" s="1633"/>
      <c r="BK1" s="1633"/>
      <c r="BL1" s="1633"/>
      <c r="BM1" s="1633"/>
      <c r="BN1" s="1633"/>
      <c r="BO1" s="1633"/>
      <c r="BP1" s="1633"/>
      <c r="BQ1" s="1633"/>
      <c r="BR1" s="1633"/>
      <c r="BS1" s="1633"/>
      <c r="BT1" s="1633"/>
      <c r="BU1" s="1633"/>
      <c r="BV1" s="1633"/>
      <c r="BW1" s="1633"/>
      <c r="BX1" s="1633"/>
      <c r="BY1" s="1633"/>
      <c r="BZ1" s="1633"/>
      <c r="CA1" s="1633"/>
      <c r="CB1" s="1633"/>
      <c r="CC1" s="1633"/>
      <c r="CD1" s="1633"/>
      <c r="CE1" s="1633"/>
      <c r="CF1" s="1633"/>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56" t="s">
        <v>2</v>
      </c>
      <c r="P3" s="2057"/>
      <c r="Q3" s="2057"/>
      <c r="R3" s="2057"/>
      <c r="S3" s="2057"/>
      <c r="T3" s="2057"/>
      <c r="U3" s="2057"/>
      <c r="V3" s="2058"/>
      <c r="W3" s="21" t="s">
        <v>3</v>
      </c>
      <c r="X3" s="2067" t="s">
        <v>4</v>
      </c>
      <c r="Y3" s="2068"/>
      <c r="Z3" s="31" t="s">
        <v>3869</v>
      </c>
      <c r="AA3" s="1414" t="s">
        <v>3867</v>
      </c>
      <c r="AB3" s="2065" t="s">
        <v>5</v>
      </c>
      <c r="AC3" s="2066"/>
      <c r="AD3" s="2066"/>
      <c r="AE3" s="2054"/>
      <c r="AF3" s="2055"/>
      <c r="AG3" s="2053" t="s">
        <v>6</v>
      </c>
      <c r="AH3" s="2054"/>
      <c r="AI3" s="2054"/>
      <c r="AJ3" s="2054"/>
      <c r="AK3" s="2055"/>
      <c r="AL3" s="2071" t="s">
        <v>7</v>
      </c>
      <c r="AM3" s="2072"/>
      <c r="AN3" s="2072"/>
      <c r="AO3" s="2072"/>
      <c r="AP3" s="2072"/>
      <c r="AQ3" s="2072"/>
      <c r="AR3" s="2072"/>
      <c r="AS3" s="2073"/>
      <c r="AT3" s="2036" t="s">
        <v>8</v>
      </c>
      <c r="AU3" s="2037"/>
      <c r="AV3" s="2038"/>
      <c r="AW3" s="2059" t="s">
        <v>9</v>
      </c>
      <c r="AX3" s="2060"/>
      <c r="AY3" s="2069" t="s">
        <v>10</v>
      </c>
      <c r="AZ3" s="2070"/>
      <c r="BA3" s="2074" t="s">
        <v>11</v>
      </c>
      <c r="BB3" s="2075"/>
      <c r="BC3" s="2075"/>
      <c r="BD3" s="2076"/>
      <c r="BE3" s="2061" t="s">
        <v>12</v>
      </c>
      <c r="BF3" s="2062"/>
      <c r="BG3" s="2063"/>
      <c r="BH3" s="2063"/>
      <c r="BI3" s="2063"/>
      <c r="BJ3" s="2064"/>
      <c r="BK3" s="2077" t="s">
        <v>13</v>
      </c>
      <c r="BL3" s="2078"/>
      <c r="BM3" s="2048" t="s">
        <v>14</v>
      </c>
      <c r="BN3" s="2049"/>
      <c r="BO3" s="2049"/>
      <c r="BP3" s="2049"/>
      <c r="BQ3" s="2049"/>
      <c r="BR3" s="2049"/>
      <c r="BS3" s="2049"/>
      <c r="BT3" s="2049"/>
      <c r="BU3" s="2049"/>
      <c r="BV3" s="2049"/>
      <c r="BW3" s="2050"/>
      <c r="BX3" s="37"/>
      <c r="BY3" s="37"/>
      <c r="BZ3" s="37"/>
      <c r="CA3" s="37"/>
      <c r="CB3" s="37"/>
      <c r="CC3" s="37"/>
      <c r="CD3" s="37"/>
      <c r="CE3" s="37"/>
      <c r="CF3" s="37"/>
    </row>
    <row r="4" spans="1:84" ht="47.25" customHeight="1" thickTop="1" thickBot="1">
      <c r="B4" s="47"/>
      <c r="C4" s="2042" t="s">
        <v>15</v>
      </c>
      <c r="D4" s="2043"/>
      <c r="E4" s="120" t="s">
        <v>16</v>
      </c>
      <c r="F4" s="1598" t="s">
        <v>4482</v>
      </c>
      <c r="G4" s="120" t="s">
        <v>17</v>
      </c>
      <c r="H4" s="120" t="s">
        <v>6332</v>
      </c>
      <c r="I4" s="328" t="s">
        <v>18</v>
      </c>
      <c r="J4" s="328" t="s">
        <v>6965</v>
      </c>
      <c r="K4" s="45" t="s">
        <v>19</v>
      </c>
      <c r="L4" s="1442" t="s">
        <v>3971</v>
      </c>
      <c r="M4" s="1442" t="s">
        <v>6377</v>
      </c>
      <c r="N4" s="46" t="s">
        <v>20</v>
      </c>
      <c r="O4" s="41" t="s">
        <v>21</v>
      </c>
      <c r="P4" s="42" t="s">
        <v>22</v>
      </c>
      <c r="Q4" s="43" t="s">
        <v>23</v>
      </c>
      <c r="R4" s="43" t="s">
        <v>4384</v>
      </c>
      <c r="S4" s="43" t="s">
        <v>24</v>
      </c>
      <c r="T4" s="43" t="s">
        <v>25</v>
      </c>
      <c r="U4" s="43" t="s">
        <v>26</v>
      </c>
      <c r="V4" s="44" t="s">
        <v>27</v>
      </c>
      <c r="W4" s="48" t="s">
        <v>25</v>
      </c>
      <c r="X4" s="41" t="s">
        <v>28</v>
      </c>
      <c r="Y4" s="44" t="s">
        <v>29</v>
      </c>
      <c r="Z4" s="48" t="s">
        <v>25</v>
      </c>
      <c r="AA4" s="47" t="s">
        <v>4387</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76" t="s">
        <v>4841</v>
      </c>
      <c r="BG4" s="43" t="s">
        <v>48</v>
      </c>
      <c r="BH4" s="43" t="s">
        <v>49</v>
      </c>
      <c r="BI4" s="43" t="s">
        <v>50</v>
      </c>
      <c r="BJ4" s="44" t="s">
        <v>51</v>
      </c>
      <c r="BK4" s="41" t="s">
        <v>25</v>
      </c>
      <c r="BL4" s="699" t="s">
        <v>6423</v>
      </c>
      <c r="BM4" s="384" t="s">
        <v>52</v>
      </c>
      <c r="BN4" s="154" t="s">
        <v>53</v>
      </c>
      <c r="BO4" s="154" t="s">
        <v>54</v>
      </c>
      <c r="BP4" s="154" t="s">
        <v>3618</v>
      </c>
      <c r="BQ4" s="154" t="s">
        <v>3621</v>
      </c>
      <c r="BR4" s="1290" t="s">
        <v>3619</v>
      </c>
      <c r="BS4" s="154" t="s">
        <v>3620</v>
      </c>
      <c r="BT4" s="154" t="s">
        <v>55</v>
      </c>
      <c r="BU4" s="1433" t="s">
        <v>3922</v>
      </c>
      <c r="BV4" s="1434" t="s">
        <v>5020</v>
      </c>
      <c r="BW4" s="932" t="s">
        <v>56</v>
      </c>
      <c r="BX4" s="50" t="s">
        <v>57</v>
      </c>
      <c r="BY4" s="2008" t="s">
        <v>58</v>
      </c>
      <c r="BZ4" s="2008" t="s">
        <v>6928</v>
      </c>
      <c r="CA4" s="2008" t="s">
        <v>1420</v>
      </c>
      <c r="CB4" s="2008" t="s">
        <v>3209</v>
      </c>
      <c r="CC4" s="2008" t="s">
        <v>3210</v>
      </c>
      <c r="CD4" s="2009" t="s">
        <v>6929</v>
      </c>
      <c r="CE4" s="2008"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4035</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4035</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4035</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4035</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4035</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4035</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4035</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4035</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52"/>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4035</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4035</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52"/>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4035</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4035</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4035</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4035</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4035</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4035</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4035</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4035</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4035</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4035</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4035</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4035</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4035</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4035</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4035</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4035</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4035</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4035</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4035</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4035</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905"/>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4035</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4035</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4035</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4107</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905"/>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4108</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905"/>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4109</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905"/>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4110</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905"/>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4111</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905"/>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4112</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905"/>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4113</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905"/>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4114</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905"/>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4115</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905"/>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52"/>
      <c r="BG73" s="5">
        <v>41855</v>
      </c>
      <c r="BH73" s="5">
        <v>41900</v>
      </c>
      <c r="BI73" s="5">
        <v>41916</v>
      </c>
      <c r="BJ73" s="36">
        <v>2586760.2200000002</v>
      </c>
      <c r="BK73" s="255">
        <v>41919</v>
      </c>
      <c r="BL73" s="1906"/>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4035</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4035</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4035</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4035</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4035</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4035</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4035</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4035</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4035</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4035</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4035</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4035</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4035</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4035</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4035</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53"/>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54"/>
      <c r="BG102" s="1093"/>
      <c r="BH102" s="1093"/>
      <c r="BI102" s="1093"/>
      <c r="BJ102" s="1103"/>
      <c r="BK102" s="1104"/>
      <c r="BL102" s="1905"/>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4035</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4035</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4035</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4035</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4035</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4035</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4035</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4035</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4035</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4035</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4035</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4035</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4035</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4035</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4035</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4035</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2013"/>
      <c r="K120" s="169">
        <v>2015</v>
      </c>
      <c r="L120" s="1446"/>
      <c r="M120" s="1446"/>
      <c r="N120" s="17" t="s">
        <v>76</v>
      </c>
      <c r="O120" s="171" t="s">
        <v>425</v>
      </c>
      <c r="P120" s="2" t="s">
        <v>4035</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2013"/>
      <c r="K121" s="169">
        <v>2015</v>
      </c>
      <c r="L121" s="1446"/>
      <c r="M121" s="1446"/>
      <c r="N121" s="17" t="s">
        <v>76</v>
      </c>
      <c r="O121" s="19" t="s">
        <v>427</v>
      </c>
      <c r="P121" s="2" t="s">
        <v>4035</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2013"/>
      <c r="K122" s="169">
        <v>2015</v>
      </c>
      <c r="L122" s="1446"/>
      <c r="M122" s="1446"/>
      <c r="N122" s="17" t="s">
        <v>76</v>
      </c>
      <c r="O122" s="189" t="s">
        <v>429</v>
      </c>
      <c r="P122" s="2" t="s">
        <v>4035</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2013"/>
      <c r="K123" s="169">
        <v>2015</v>
      </c>
      <c r="L123" s="1446"/>
      <c r="M123" s="1446"/>
      <c r="N123" s="17" t="s">
        <v>76</v>
      </c>
      <c r="O123" s="19" t="s">
        <v>432</v>
      </c>
      <c r="P123" s="2" t="s">
        <v>4035</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2013"/>
      <c r="K124" s="169">
        <v>2015</v>
      </c>
      <c r="L124" s="1446"/>
      <c r="M124" s="1446"/>
      <c r="N124" s="17" t="s">
        <v>76</v>
      </c>
      <c r="O124" s="19" t="s">
        <v>434</v>
      </c>
      <c r="P124" s="2" t="s">
        <v>4035</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2013"/>
      <c r="K125" s="169">
        <v>2015</v>
      </c>
      <c r="L125" s="1446"/>
      <c r="M125" s="1446"/>
      <c r="N125" s="17" t="s">
        <v>76</v>
      </c>
      <c r="O125" s="19" t="s">
        <v>436</v>
      </c>
      <c r="P125" s="2" t="s">
        <v>4035</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2013"/>
      <c r="K126" s="169">
        <v>2015</v>
      </c>
      <c r="L126" s="1446"/>
      <c r="M126" s="1446"/>
      <c r="N126" s="18" t="s">
        <v>165</v>
      </c>
      <c r="O126" s="19" t="s">
        <v>438</v>
      </c>
      <c r="P126" s="2" t="s">
        <v>4035</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2013"/>
      <c r="K127" s="169">
        <v>2015</v>
      </c>
      <c r="L127" s="1446"/>
      <c r="M127" s="1446"/>
      <c r="N127" s="17" t="s">
        <v>76</v>
      </c>
      <c r="O127" s="19" t="s">
        <v>443</v>
      </c>
      <c r="P127" s="2" t="s">
        <v>4035</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4035</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4035</v>
      </c>
      <c r="Q129" s="3" t="s">
        <v>447</v>
      </c>
      <c r="R129" s="3" t="s">
        <v>4412</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55"/>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4035</v>
      </c>
      <c r="Q130" s="3" t="s">
        <v>455</v>
      </c>
      <c r="R130" s="3" t="s">
        <v>2578</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56"/>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4035</v>
      </c>
      <c r="Q131" s="3" t="s">
        <v>447</v>
      </c>
      <c r="R131" s="3" t="s">
        <v>4412</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57"/>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4035</v>
      </c>
      <c r="Q132" s="3" t="s">
        <v>462</v>
      </c>
      <c r="R132" s="3" t="s">
        <v>4412</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57"/>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2651</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58"/>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2651</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59"/>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4035</v>
      </c>
      <c r="Q136" s="3" t="s">
        <v>479</v>
      </c>
      <c r="R136" s="3" t="s">
        <v>2651</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60"/>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4035</v>
      </c>
      <c r="Q137" s="3" t="s">
        <v>483</v>
      </c>
      <c r="R137" s="3" t="s">
        <v>2616</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60"/>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4035</v>
      </c>
      <c r="Q138" s="3" t="s">
        <v>485</v>
      </c>
      <c r="R138" s="3" t="s">
        <v>2541</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61"/>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4035</v>
      </c>
      <c r="Q139" s="3" t="s">
        <v>489</v>
      </c>
      <c r="R139" s="3" t="s">
        <v>2651</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60"/>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4035</v>
      </c>
      <c r="Q140" s="3" t="s">
        <v>493</v>
      </c>
      <c r="R140" s="3" t="s">
        <v>2651</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60"/>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4035</v>
      </c>
      <c r="Q141" s="3" t="s">
        <v>496</v>
      </c>
      <c r="R141" s="3" t="s">
        <v>2651</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60"/>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4035</v>
      </c>
      <c r="Q142" s="3" t="s">
        <v>499</v>
      </c>
      <c r="R142" s="3" t="s">
        <v>4413</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60"/>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4035</v>
      </c>
      <c r="Q143" s="3" t="s">
        <v>503</v>
      </c>
      <c r="R143" s="3" t="s">
        <v>2541</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61"/>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4035</v>
      </c>
      <c r="Q144" s="3" t="s">
        <v>507</v>
      </c>
      <c r="R144" s="3" t="s">
        <v>2651</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60"/>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4035</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60"/>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4035</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61"/>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4035</v>
      </c>
      <c r="Q147" s="3" t="s">
        <v>515</v>
      </c>
      <c r="R147" s="3" t="s">
        <v>4826</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60"/>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4035</v>
      </c>
      <c r="Q148" s="3" t="s">
        <v>520</v>
      </c>
      <c r="R148" s="3" t="s">
        <v>4826</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60"/>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4035</v>
      </c>
      <c r="Q149" s="3" t="s">
        <v>522</v>
      </c>
      <c r="R149" s="3" t="s">
        <v>4826</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60"/>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4035</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61"/>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4035</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60"/>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4035</v>
      </c>
      <c r="Q152" s="3" t="s">
        <v>531</v>
      </c>
      <c r="R152" s="3" t="s">
        <v>4827</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60"/>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4035</v>
      </c>
      <c r="Q153" s="3" t="s">
        <v>534</v>
      </c>
      <c r="R153" s="3" t="s">
        <v>4827</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60"/>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4035</v>
      </c>
      <c r="Q154" s="3" t="s">
        <v>536</v>
      </c>
      <c r="R154" s="3" t="s">
        <v>4827</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60"/>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4035</v>
      </c>
      <c r="Q155" s="3" t="s">
        <v>538</v>
      </c>
      <c r="R155" s="3" t="s">
        <v>4827</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61"/>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4035</v>
      </c>
      <c r="Q156" s="3" t="s">
        <v>540</v>
      </c>
      <c r="R156" s="3" t="s">
        <v>4827</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61"/>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4035</v>
      </c>
      <c r="Q157" s="3" t="s">
        <v>542</v>
      </c>
      <c r="R157" s="3" t="s">
        <v>4827</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61"/>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4035</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60"/>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4035</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60"/>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4035</v>
      </c>
      <c r="Q160" s="80" t="s">
        <v>548</v>
      </c>
      <c r="R160" s="80" t="s">
        <v>2541</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60"/>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4035</v>
      </c>
      <c r="Q161" s="80" t="s">
        <v>552</v>
      </c>
      <c r="R161" s="80" t="s">
        <v>3626</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60"/>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4035</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60"/>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4035</v>
      </c>
      <c r="Q163" s="3" t="s">
        <v>558</v>
      </c>
      <c r="R163" s="3" t="s">
        <v>2616</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60"/>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4035</v>
      </c>
      <c r="Q164" s="3" t="s">
        <v>561</v>
      </c>
      <c r="R164" s="3" t="s">
        <v>2518</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60"/>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4035</v>
      </c>
      <c r="Q165" s="3" t="s">
        <v>565</v>
      </c>
      <c r="R165" s="3" t="s">
        <v>2541</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60"/>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4035</v>
      </c>
      <c r="Q166" s="3" t="s">
        <v>568</v>
      </c>
      <c r="R166" s="3" t="s">
        <v>2541</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60"/>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4035</v>
      </c>
      <c r="Q167" s="3" t="s">
        <v>570</v>
      </c>
      <c r="R167" s="3" t="s">
        <v>2541</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60"/>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4035</v>
      </c>
      <c r="Q168" s="3" t="s">
        <v>572</v>
      </c>
      <c r="R168" s="3" t="s">
        <v>3626</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60"/>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4509</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60"/>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2580</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4826</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3626</v>
      </c>
      <c r="S172" s="473">
        <v>346655.86</v>
      </c>
      <c r="T172" s="474">
        <v>42599</v>
      </c>
      <c r="U172" s="71">
        <v>42600</v>
      </c>
      <c r="V172" s="127">
        <v>42704</v>
      </c>
      <c r="W172" s="68">
        <v>42597</v>
      </c>
      <c r="X172" s="33" t="s">
        <v>591</v>
      </c>
      <c r="Y172" s="18" t="s">
        <v>3050</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62"/>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3626</v>
      </c>
      <c r="S173" s="4">
        <v>410268.05</v>
      </c>
      <c r="T173" s="6">
        <v>42593</v>
      </c>
      <c r="U173" s="5">
        <v>42597</v>
      </c>
      <c r="V173" s="11">
        <v>42704</v>
      </c>
      <c r="W173" s="68">
        <v>42592</v>
      </c>
      <c r="X173" s="33" t="s">
        <v>591</v>
      </c>
      <c r="Y173" s="18" t="s">
        <v>3050</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63"/>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3050</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3050</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3050</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64"/>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3050</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61"/>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3050</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64"/>
      <c r="BG178" s="326">
        <v>42635</v>
      </c>
      <c r="BH178" s="326">
        <v>42704</v>
      </c>
      <c r="BI178" s="326">
        <v>42720</v>
      </c>
      <c r="BJ178" s="327">
        <f t="shared" si="5"/>
        <v>581427.36</v>
      </c>
      <c r="BK178" s="204">
        <v>42720</v>
      </c>
      <c r="BL178" s="1907"/>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3050</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61"/>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61"/>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3626</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60"/>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3626</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60"/>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54"/>
      <c r="BG183" s="1093"/>
      <c r="BH183" s="1093"/>
      <c r="BI183" s="1093"/>
      <c r="BJ183" s="1103">
        <f t="shared" si="5"/>
        <v>0</v>
      </c>
      <c r="BK183" s="1104"/>
      <c r="BL183" s="1905"/>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3626</v>
      </c>
      <c r="S187" s="4">
        <v>196802.42</v>
      </c>
      <c r="T187" s="6">
        <v>42677</v>
      </c>
      <c r="U187" s="5">
        <v>42681</v>
      </c>
      <c r="V187" s="11">
        <v>42735</v>
      </c>
      <c r="W187" s="68">
        <v>42675</v>
      </c>
      <c r="X187" s="178" t="s">
        <v>475</v>
      </c>
      <c r="Y187" s="18" t="s">
        <v>3050</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63"/>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3626</v>
      </c>
      <c r="S188" s="4">
        <v>523396.29</v>
      </c>
      <c r="T188" s="6">
        <v>42677</v>
      </c>
      <c r="U188" s="5">
        <v>42678</v>
      </c>
      <c r="V188" s="11">
        <v>42735</v>
      </c>
      <c r="W188" s="105">
        <v>42675</v>
      </c>
      <c r="X188" s="33" t="s">
        <v>591</v>
      </c>
      <c r="Y188" s="18" t="s">
        <v>3050</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65"/>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60"/>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905"/>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905"/>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60"/>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60"/>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3626</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66"/>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66"/>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66"/>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4827</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66"/>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4827</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66"/>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4827</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66"/>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66"/>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4827</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66"/>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2541</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66"/>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3626</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66"/>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3626</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66"/>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4827</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66"/>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4827</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66"/>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3219</v>
      </c>
      <c r="P207" s="2" t="s">
        <v>466</v>
      </c>
      <c r="Q207" s="321" t="s">
        <v>3220</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66"/>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3221</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66"/>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3224</v>
      </c>
      <c r="O209" s="323" t="s">
        <v>3224</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66"/>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3224</v>
      </c>
      <c r="O210" s="323" t="s">
        <v>3225</v>
      </c>
      <c r="P210" s="2" t="s">
        <v>466</v>
      </c>
      <c r="Q210" s="321" t="s">
        <v>3228</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66"/>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4035</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4035</v>
      </c>
      <c r="Q212" s="3" t="s">
        <v>693</v>
      </c>
      <c r="R212" s="3" t="s">
        <v>4412</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4035</v>
      </c>
      <c r="Q213" s="3" t="s">
        <v>696</v>
      </c>
      <c r="R213" s="3" t="s">
        <v>4413</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4035</v>
      </c>
      <c r="Q214" s="3" t="s">
        <v>699</v>
      </c>
      <c r="R214" s="3" t="s">
        <v>4412</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4035</v>
      </c>
      <c r="Q215" s="3" t="s">
        <v>703</v>
      </c>
      <c r="R215" s="3" t="s">
        <v>2518</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67"/>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4035</v>
      </c>
      <c r="Q217" s="3" t="s">
        <v>707</v>
      </c>
      <c r="R217" s="3" t="s">
        <v>2518</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4035</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61"/>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4035</v>
      </c>
      <c r="Q219" s="3" t="s">
        <v>714</v>
      </c>
      <c r="R219" s="3" t="s">
        <v>3626</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4035</v>
      </c>
      <c r="Q220" s="3" t="s">
        <v>717</v>
      </c>
      <c r="R220" s="3" t="s">
        <v>3626</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4035</v>
      </c>
      <c r="Q221" s="3" t="s">
        <v>720</v>
      </c>
      <c r="R221" s="3" t="s">
        <v>4412</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65"/>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4035</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68"/>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63"/>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62"/>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62"/>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62"/>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62"/>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93"/>
      <c r="I231" s="331">
        <v>43048</v>
      </c>
      <c r="J231" s="331"/>
      <c r="K231" s="16">
        <v>2017</v>
      </c>
      <c r="L231" s="1446"/>
      <c r="M231" s="1446"/>
      <c r="N231" s="170" t="s">
        <v>76</v>
      </c>
      <c r="O231" s="33" t="s">
        <v>746</v>
      </c>
      <c r="P231" s="172" t="s">
        <v>78</v>
      </c>
      <c r="Q231" s="452" t="s">
        <v>747</v>
      </c>
      <c r="R231" s="452" t="s">
        <v>2541</v>
      </c>
      <c r="S231" s="174">
        <v>167666.94</v>
      </c>
      <c r="T231" s="582">
        <v>42858</v>
      </c>
      <c r="U231" s="176">
        <v>42859</v>
      </c>
      <c r="V231" s="177">
        <v>42875</v>
      </c>
      <c r="W231" s="105">
        <v>42857</v>
      </c>
      <c r="X231" s="115" t="s">
        <v>636</v>
      </c>
      <c r="Y231" s="18" t="s">
        <v>3050</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62"/>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93"/>
      <c r="I232" s="331">
        <v>43048</v>
      </c>
      <c r="J232" s="331"/>
      <c r="K232" s="16">
        <v>2017</v>
      </c>
      <c r="L232" s="1446"/>
      <c r="M232" s="1446"/>
      <c r="N232" s="170" t="s">
        <v>76</v>
      </c>
      <c r="O232" s="33" t="s">
        <v>751</v>
      </c>
      <c r="P232" s="172" t="s">
        <v>78</v>
      </c>
      <c r="Q232" s="452" t="s">
        <v>752</v>
      </c>
      <c r="R232" s="452" t="s">
        <v>2541</v>
      </c>
      <c r="S232" s="174">
        <v>336153.85</v>
      </c>
      <c r="T232" s="175">
        <v>42857</v>
      </c>
      <c r="U232" s="176">
        <v>42868</v>
      </c>
      <c r="V232" s="177">
        <v>42899</v>
      </c>
      <c r="W232" s="105">
        <v>42857</v>
      </c>
      <c r="X232" s="115" t="s">
        <v>636</v>
      </c>
      <c r="Y232" s="18" t="s">
        <v>3050</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62"/>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93"/>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65"/>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93"/>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65"/>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93"/>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65"/>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93"/>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65"/>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93"/>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65"/>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93"/>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65"/>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93"/>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93"/>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93"/>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63"/>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93"/>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68"/>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93"/>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68"/>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93"/>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68"/>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93"/>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68"/>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93"/>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60"/>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93"/>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68"/>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93"/>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60"/>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93"/>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60"/>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93"/>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60"/>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93"/>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60"/>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93"/>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68"/>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93"/>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93"/>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93"/>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93"/>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93"/>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93"/>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62"/>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93"/>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62"/>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93"/>
      <c r="I260" s="331">
        <v>43048</v>
      </c>
      <c r="J260" s="331"/>
      <c r="K260" s="16">
        <v>2017</v>
      </c>
      <c r="L260" s="1446"/>
      <c r="M260" s="1446"/>
      <c r="N260" s="170" t="s">
        <v>76</v>
      </c>
      <c r="O260" s="33" t="s">
        <v>834</v>
      </c>
      <c r="P260" s="172" t="s">
        <v>78</v>
      </c>
      <c r="Q260" s="452" t="s">
        <v>835</v>
      </c>
      <c r="R260" s="452" t="s">
        <v>2580</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93"/>
      <c r="I261" s="331">
        <v>43048</v>
      </c>
      <c r="J261" s="331"/>
      <c r="K261" s="16">
        <v>2017</v>
      </c>
      <c r="L261" s="1446"/>
      <c r="M261" s="1446"/>
      <c r="N261" s="170" t="s">
        <v>76</v>
      </c>
      <c r="O261" s="33" t="s">
        <v>837</v>
      </c>
      <c r="P261" s="172" t="s">
        <v>78</v>
      </c>
      <c r="Q261" s="452" t="s">
        <v>838</v>
      </c>
      <c r="R261" s="452" t="s">
        <v>2580</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64"/>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93"/>
      <c r="I262" s="331">
        <v>43048</v>
      </c>
      <c r="J262" s="331"/>
      <c r="K262" s="16">
        <v>2017</v>
      </c>
      <c r="L262" s="1446"/>
      <c r="M262" s="1446"/>
      <c r="N262" s="170" t="s">
        <v>76</v>
      </c>
      <c r="O262" s="33" t="s">
        <v>840</v>
      </c>
      <c r="P262" s="172" t="s">
        <v>78</v>
      </c>
      <c r="Q262" s="173" t="s">
        <v>841</v>
      </c>
      <c r="R262" s="173" t="s">
        <v>2580</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93"/>
      <c r="I263" s="331">
        <v>43048</v>
      </c>
      <c r="J263" s="331"/>
      <c r="K263" s="16">
        <v>2017</v>
      </c>
      <c r="L263" s="1446"/>
      <c r="M263" s="1446"/>
      <c r="N263" s="170" t="s">
        <v>76</v>
      </c>
      <c r="O263" s="33" t="s">
        <v>843</v>
      </c>
      <c r="P263" s="172" t="s">
        <v>78</v>
      </c>
      <c r="Q263" s="173" t="s">
        <v>844</v>
      </c>
      <c r="R263" s="173" t="s">
        <v>2580</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93"/>
      <c r="I265" s="331">
        <v>43048</v>
      </c>
      <c r="J265" s="331"/>
      <c r="K265" s="16">
        <v>2017</v>
      </c>
      <c r="L265" s="1446"/>
      <c r="M265" s="1446"/>
      <c r="N265" s="170" t="s">
        <v>76</v>
      </c>
      <c r="O265" s="33" t="s">
        <v>847</v>
      </c>
      <c r="P265" s="172" t="s">
        <v>78</v>
      </c>
      <c r="Q265" s="173" t="s">
        <v>848</v>
      </c>
      <c r="R265" s="173" t="s">
        <v>3626</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93"/>
      <c r="I266" s="331">
        <v>43048</v>
      </c>
      <c r="J266" s="331"/>
      <c r="K266" s="16">
        <v>2017</v>
      </c>
      <c r="L266" s="1446"/>
      <c r="M266" s="1446"/>
      <c r="N266" s="170" t="s">
        <v>76</v>
      </c>
      <c r="O266" s="33" t="s">
        <v>851</v>
      </c>
      <c r="P266" s="172" t="s">
        <v>78</v>
      </c>
      <c r="Q266" s="173" t="s">
        <v>852</v>
      </c>
      <c r="R266" s="173" t="s">
        <v>2541</v>
      </c>
      <c r="S266" s="174">
        <v>185695.33</v>
      </c>
      <c r="T266" s="175">
        <v>42948</v>
      </c>
      <c r="U266" s="176">
        <v>42950</v>
      </c>
      <c r="V266" s="177">
        <v>42978</v>
      </c>
      <c r="W266" s="105">
        <v>42948</v>
      </c>
      <c r="X266" s="115" t="s">
        <v>636</v>
      </c>
      <c r="Y266" s="18" t="s">
        <v>3050</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93"/>
      <c r="I267" s="331">
        <v>43327</v>
      </c>
      <c r="J267" s="331"/>
      <c r="K267" s="16">
        <v>-2016</v>
      </c>
      <c r="L267" s="1446"/>
      <c r="M267" s="1446"/>
      <c r="N267" s="170" t="s">
        <v>76</v>
      </c>
      <c r="O267" s="19" t="s">
        <v>855</v>
      </c>
      <c r="P267" s="172" t="s">
        <v>78</v>
      </c>
      <c r="Q267" s="173" t="s">
        <v>856</v>
      </c>
      <c r="R267" s="173" t="s">
        <v>2541</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62"/>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84"/>
      <c r="I268" s="331"/>
      <c r="J268" s="331"/>
      <c r="K268" s="16">
        <v>2017</v>
      </c>
      <c r="L268" s="1446"/>
      <c r="M268" s="1446"/>
      <c r="N268" s="170" t="s">
        <v>165</v>
      </c>
      <c r="O268" s="33" t="s">
        <v>858</v>
      </c>
      <c r="P268" s="172" t="s">
        <v>78</v>
      </c>
      <c r="Q268" s="173" t="s">
        <v>859</v>
      </c>
      <c r="R268" s="173" t="s">
        <v>4412</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69"/>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70"/>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93"/>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61"/>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93"/>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62"/>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93"/>
      <c r="I272" s="331">
        <v>43229</v>
      </c>
      <c r="J272" s="331"/>
      <c r="K272" s="16">
        <v>-2016</v>
      </c>
      <c r="L272" s="1446"/>
      <c r="M272" s="1446"/>
      <c r="N272" s="170" t="s">
        <v>464</v>
      </c>
      <c r="O272" s="19" t="s">
        <v>871</v>
      </c>
      <c r="P272" s="172" t="s">
        <v>78</v>
      </c>
      <c r="Q272" s="173" t="s">
        <v>872</v>
      </c>
      <c r="R272" s="173" t="s">
        <v>4412</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93"/>
      <c r="I273" s="331"/>
      <c r="J273" s="331"/>
      <c r="K273" s="16">
        <v>2017</v>
      </c>
      <c r="L273" s="1446"/>
      <c r="M273" s="1446"/>
      <c r="N273" s="170" t="s">
        <v>165</v>
      </c>
      <c r="O273" s="33" t="s">
        <v>879</v>
      </c>
      <c r="P273" s="172" t="s">
        <v>78</v>
      </c>
      <c r="Q273" s="587" t="s">
        <v>880</v>
      </c>
      <c r="R273" s="587" t="s">
        <v>3626</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93"/>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93"/>
      <c r="I275" s="331">
        <v>43322</v>
      </c>
      <c r="J275" s="331"/>
      <c r="K275" s="16">
        <v>2017</v>
      </c>
      <c r="L275" s="1446"/>
      <c r="M275" s="1446"/>
      <c r="N275" s="170" t="s">
        <v>165</v>
      </c>
      <c r="O275" s="33" t="s">
        <v>884</v>
      </c>
      <c r="P275" s="172" t="s">
        <v>78</v>
      </c>
      <c r="Q275" s="173" t="s">
        <v>885</v>
      </c>
      <c r="R275" s="173" t="s">
        <v>4826</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93"/>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93"/>
      <c r="I278" s="331">
        <v>43327</v>
      </c>
      <c r="J278" s="331"/>
      <c r="K278" s="16">
        <v>-2016</v>
      </c>
      <c r="L278" s="1446"/>
      <c r="M278" s="1446"/>
      <c r="N278" s="170" t="s">
        <v>76</v>
      </c>
      <c r="O278" s="19" t="s">
        <v>889</v>
      </c>
      <c r="P278" s="172" t="s">
        <v>78</v>
      </c>
      <c r="Q278" s="173" t="s">
        <v>890</v>
      </c>
      <c r="R278" s="173" t="s">
        <v>2541</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63"/>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93"/>
      <c r="I279" s="331"/>
      <c r="J279" s="331"/>
      <c r="K279" s="16">
        <v>2017</v>
      </c>
      <c r="L279" s="1446"/>
      <c r="M279" s="1446"/>
      <c r="N279" s="170" t="s">
        <v>165</v>
      </c>
      <c r="O279" s="33" t="s">
        <v>896</v>
      </c>
      <c r="P279" s="172" t="s">
        <v>78</v>
      </c>
      <c r="Q279" s="173" t="s">
        <v>897</v>
      </c>
      <c r="R279" s="173" t="s">
        <v>2580</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93"/>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62"/>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93"/>
      <c r="I281" s="331">
        <v>43439</v>
      </c>
      <c r="J281" s="331"/>
      <c r="K281" s="16">
        <v>2017</v>
      </c>
      <c r="L281" s="1446"/>
      <c r="M281" s="1446"/>
      <c r="N281" s="170" t="s">
        <v>76</v>
      </c>
      <c r="O281" s="33" t="s">
        <v>904</v>
      </c>
      <c r="P281" s="172" t="s">
        <v>78</v>
      </c>
      <c r="Q281" s="173" t="s">
        <v>905</v>
      </c>
      <c r="R281" s="173" t="s">
        <v>4412</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65"/>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93"/>
      <c r="I282" s="331">
        <v>43439</v>
      </c>
      <c r="J282" s="331"/>
      <c r="K282" s="16">
        <v>2017</v>
      </c>
      <c r="L282" s="1446"/>
      <c r="M282" s="1446"/>
      <c r="N282" s="170" t="s">
        <v>76</v>
      </c>
      <c r="O282" s="33" t="s">
        <v>910</v>
      </c>
      <c r="P282" s="172" t="s">
        <v>78</v>
      </c>
      <c r="Q282" s="173" t="s">
        <v>911</v>
      </c>
      <c r="R282" s="173" t="s">
        <v>4412</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65"/>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93"/>
      <c r="I283" s="331">
        <v>43271</v>
      </c>
      <c r="J283" s="331"/>
      <c r="K283" s="16">
        <v>2017</v>
      </c>
      <c r="L283" s="1446"/>
      <c r="M283" s="1446"/>
      <c r="N283" s="170" t="s">
        <v>76</v>
      </c>
      <c r="O283" s="33" t="s">
        <v>914</v>
      </c>
      <c r="P283" s="172" t="s">
        <v>78</v>
      </c>
      <c r="Q283" s="173" t="s">
        <v>915</v>
      </c>
      <c r="R283" s="173" t="s">
        <v>2515</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60"/>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93"/>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93"/>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93"/>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60"/>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93"/>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60"/>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93"/>
      <c r="I288" s="331">
        <v>43272</v>
      </c>
      <c r="J288" s="331"/>
      <c r="K288" s="16">
        <v>2017</v>
      </c>
      <c r="L288" s="1446"/>
      <c r="M288" s="1446"/>
      <c r="N288" s="170" t="s">
        <v>76</v>
      </c>
      <c r="O288" s="33" t="s">
        <v>935</v>
      </c>
      <c r="P288" s="172" t="s">
        <v>78</v>
      </c>
      <c r="Q288" s="173" t="s">
        <v>936</v>
      </c>
      <c r="R288" s="173" t="s">
        <v>2515</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60"/>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93"/>
      <c r="I289" s="331">
        <v>43220</v>
      </c>
      <c r="J289" s="331"/>
      <c r="K289" s="16">
        <v>2017</v>
      </c>
      <c r="L289" s="1446"/>
      <c r="M289" s="1446"/>
      <c r="N289" s="170" t="s">
        <v>76</v>
      </c>
      <c r="O289" s="33" t="s">
        <v>938</v>
      </c>
      <c r="P289" s="172" t="s">
        <v>78</v>
      </c>
      <c r="Q289" s="173" t="s">
        <v>939</v>
      </c>
      <c r="R289" s="173" t="s">
        <v>4412</v>
      </c>
      <c r="S289" s="174">
        <v>46522.28</v>
      </c>
      <c r="T289" s="581">
        <v>43077</v>
      </c>
      <c r="U289" s="176">
        <v>43078</v>
      </c>
      <c r="V289" s="177">
        <v>43099</v>
      </c>
      <c r="W289" s="68">
        <v>43073</v>
      </c>
      <c r="X289" s="116" t="s">
        <v>198</v>
      </c>
      <c r="Y289" s="18" t="s">
        <v>3050</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62"/>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93"/>
      <c r="I290" s="331">
        <v>43220</v>
      </c>
      <c r="J290" s="331"/>
      <c r="K290" s="16">
        <v>2017</v>
      </c>
      <c r="L290" s="1446"/>
      <c r="M290" s="1446"/>
      <c r="N290" s="170" t="s">
        <v>76</v>
      </c>
      <c r="O290" s="33" t="s">
        <v>943</v>
      </c>
      <c r="P290" s="172" t="s">
        <v>78</v>
      </c>
      <c r="Q290" s="173" t="s">
        <v>944</v>
      </c>
      <c r="R290" s="173" t="s">
        <v>4412</v>
      </c>
      <c r="S290" s="174">
        <v>107544.91</v>
      </c>
      <c r="T290" s="581">
        <v>43077</v>
      </c>
      <c r="U290" s="176">
        <v>43078</v>
      </c>
      <c r="V290" s="177">
        <v>43099</v>
      </c>
      <c r="W290" s="68">
        <v>43073</v>
      </c>
      <c r="X290" s="116" t="s">
        <v>198</v>
      </c>
      <c r="Y290" s="18" t="s">
        <v>3050</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62"/>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93"/>
      <c r="I291" s="331"/>
      <c r="J291" s="331"/>
      <c r="K291" s="16">
        <v>2018</v>
      </c>
      <c r="L291" s="1446">
        <v>180.1</v>
      </c>
      <c r="M291" s="1446"/>
      <c r="N291" s="170" t="s">
        <v>63</v>
      </c>
      <c r="O291" s="178" t="s">
        <v>3230</v>
      </c>
      <c r="P291" s="172" t="s">
        <v>466</v>
      </c>
      <c r="Q291" s="173" t="s">
        <v>3232</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62"/>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93"/>
      <c r="I292" s="331"/>
      <c r="J292" s="331"/>
      <c r="K292" s="16">
        <v>2018</v>
      </c>
      <c r="L292" s="1446">
        <v>180.2</v>
      </c>
      <c r="M292" s="1446"/>
      <c r="N292" s="170" t="s">
        <v>63</v>
      </c>
      <c r="O292" s="178" t="s">
        <v>3231</v>
      </c>
      <c r="P292" s="172" t="s">
        <v>466</v>
      </c>
      <c r="Q292" s="173" t="s">
        <v>3234</v>
      </c>
      <c r="R292" s="173" t="s">
        <v>2541</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62"/>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93"/>
      <c r="I293" s="331"/>
      <c r="J293" s="331"/>
      <c r="K293" s="16">
        <v>2018</v>
      </c>
      <c r="L293" s="1446">
        <v>180.3</v>
      </c>
      <c r="M293" s="1446"/>
      <c r="N293" s="170" t="s">
        <v>3224</v>
      </c>
      <c r="O293" s="178" t="s">
        <v>67</v>
      </c>
      <c r="P293" s="172" t="s">
        <v>466</v>
      </c>
      <c r="Q293" s="173" t="s">
        <v>3238</v>
      </c>
      <c r="R293" s="173" t="s">
        <v>2578</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62"/>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93"/>
      <c r="I294" s="331">
        <v>43389</v>
      </c>
      <c r="J294" s="331"/>
      <c r="K294" s="16">
        <v>2018</v>
      </c>
      <c r="L294" s="1446">
        <v>181.01</v>
      </c>
      <c r="M294" s="1446"/>
      <c r="N294" s="170" t="s">
        <v>165</v>
      </c>
      <c r="O294" s="178" t="s">
        <v>947</v>
      </c>
      <c r="P294" s="2" t="s">
        <v>4035</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68"/>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93"/>
      <c r="I295" s="331">
        <v>43319</v>
      </c>
      <c r="J295" s="331"/>
      <c r="K295" s="16">
        <v>2018</v>
      </c>
      <c r="L295" s="1446">
        <v>181.02</v>
      </c>
      <c r="M295" s="1446"/>
      <c r="N295" s="170" t="s">
        <v>165</v>
      </c>
      <c r="O295" s="178" t="s">
        <v>950</v>
      </c>
      <c r="P295" s="2" t="s">
        <v>4035</v>
      </c>
      <c r="Q295" s="173" t="s">
        <v>951</v>
      </c>
      <c r="R295" s="173" t="s">
        <v>4509</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68"/>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93"/>
      <c r="I296" s="331">
        <v>43389</v>
      </c>
      <c r="J296" s="331"/>
      <c r="K296" s="16">
        <v>2018</v>
      </c>
      <c r="L296" s="1446">
        <v>181.03</v>
      </c>
      <c r="M296" s="1446"/>
      <c r="N296" s="170" t="s">
        <v>165</v>
      </c>
      <c r="O296" s="178" t="s">
        <v>953</v>
      </c>
      <c r="P296" s="2" t="s">
        <v>4035</v>
      </c>
      <c r="Q296" s="173" t="s">
        <v>954</v>
      </c>
      <c r="R296" s="173" t="s">
        <v>2515</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68"/>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4035</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68"/>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71"/>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93"/>
      <c r="I299" s="331"/>
      <c r="J299" s="331"/>
      <c r="K299" s="16">
        <v>2018</v>
      </c>
      <c r="L299" s="1446">
        <v>181.06</v>
      </c>
      <c r="M299" s="1446"/>
      <c r="N299" s="170" t="s">
        <v>165</v>
      </c>
      <c r="O299" s="178" t="s">
        <v>960</v>
      </c>
      <c r="P299" s="2" t="s">
        <v>4035</v>
      </c>
      <c r="Q299" s="173" t="s">
        <v>961</v>
      </c>
      <c r="R299" s="173" t="s">
        <v>4413</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72"/>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71"/>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71"/>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93"/>
      <c r="I303" s="331">
        <v>43389</v>
      </c>
      <c r="J303" s="331"/>
      <c r="K303" s="16">
        <v>2018</v>
      </c>
      <c r="L303" s="1446">
        <v>181.1</v>
      </c>
      <c r="M303" s="1446"/>
      <c r="N303" s="170" t="s">
        <v>76</v>
      </c>
      <c r="O303" s="178" t="s">
        <v>969</v>
      </c>
      <c r="P303" s="2" t="s">
        <v>4035</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60"/>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93"/>
      <c r="I304" s="331">
        <v>43389</v>
      </c>
      <c r="J304" s="331"/>
      <c r="K304" s="16">
        <v>2018</v>
      </c>
      <c r="L304" s="1446">
        <v>181.11</v>
      </c>
      <c r="M304" s="1446"/>
      <c r="N304" s="170" t="s">
        <v>807</v>
      </c>
      <c r="O304" s="178" t="s">
        <v>973</v>
      </c>
      <c r="P304" s="2" t="s">
        <v>4035</v>
      </c>
      <c r="Q304" s="173" t="s">
        <v>974</v>
      </c>
      <c r="R304" s="173" t="s">
        <v>4413</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60"/>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93"/>
      <c r="I305" s="331">
        <v>43389</v>
      </c>
      <c r="J305" s="331"/>
      <c r="K305" s="16">
        <v>2018</v>
      </c>
      <c r="L305" s="1446">
        <v>181.12</v>
      </c>
      <c r="M305" s="1446"/>
      <c r="N305" s="170" t="s">
        <v>165</v>
      </c>
      <c r="O305" s="178" t="s">
        <v>976</v>
      </c>
      <c r="P305" s="2" t="s">
        <v>4035</v>
      </c>
      <c r="Q305" s="173" t="s">
        <v>977</v>
      </c>
      <c r="R305" s="173" t="s">
        <v>4413</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60"/>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93"/>
      <c r="I306" s="331"/>
      <c r="J306" s="331"/>
      <c r="K306" s="16">
        <v>2018</v>
      </c>
      <c r="L306" s="1446">
        <v>181.13</v>
      </c>
      <c r="M306" s="1446"/>
      <c r="N306" s="170" t="s">
        <v>165</v>
      </c>
      <c r="O306" s="178" t="s">
        <v>979</v>
      </c>
      <c r="P306" s="2" t="s">
        <v>4035</v>
      </c>
      <c r="Q306" s="173" t="s">
        <v>980</v>
      </c>
      <c r="R306" s="173" t="s">
        <v>4413</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60"/>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4035</v>
      </c>
      <c r="Q307" s="173" t="s">
        <v>982</v>
      </c>
      <c r="R307" s="173" t="s">
        <v>3626</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60"/>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71"/>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93"/>
      <c r="I309" s="331">
        <v>43389</v>
      </c>
      <c r="J309" s="331"/>
      <c r="K309" s="16">
        <v>2018</v>
      </c>
      <c r="L309" s="1446">
        <v>181.16</v>
      </c>
      <c r="M309" s="1446"/>
      <c r="N309" s="170" t="s">
        <v>807</v>
      </c>
      <c r="O309" s="178" t="s">
        <v>987</v>
      </c>
      <c r="P309" s="2" t="s">
        <v>4035</v>
      </c>
      <c r="Q309" s="173" t="s">
        <v>988</v>
      </c>
      <c r="R309" s="173" t="s">
        <v>2518</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60"/>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93"/>
      <c r="I310" s="331">
        <v>43389</v>
      </c>
      <c r="J310" s="331"/>
      <c r="K310" s="16">
        <v>2018</v>
      </c>
      <c r="L310" s="1446">
        <v>181.17</v>
      </c>
      <c r="M310" s="1446"/>
      <c r="N310" s="170" t="s">
        <v>807</v>
      </c>
      <c r="O310" s="178" t="s">
        <v>991</v>
      </c>
      <c r="P310" s="2" t="s">
        <v>4035</v>
      </c>
      <c r="Q310" s="173" t="s">
        <v>992</v>
      </c>
      <c r="R310" s="173" t="s">
        <v>3626</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60"/>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71"/>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71"/>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93"/>
      <c r="I313" s="331"/>
      <c r="J313" s="331"/>
      <c r="K313" s="16">
        <v>2018</v>
      </c>
      <c r="L313" s="1446">
        <v>181.2</v>
      </c>
      <c r="M313" s="1446"/>
      <c r="N313" s="170" t="s">
        <v>165</v>
      </c>
      <c r="O313" s="178" t="s">
        <v>998</v>
      </c>
      <c r="P313" s="2" t="s">
        <v>4035</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72"/>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93"/>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62"/>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93"/>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62"/>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93"/>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62"/>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93"/>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65"/>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93"/>
      <c r="I318" s="331">
        <v>43389</v>
      </c>
      <c r="J318" s="331"/>
      <c r="K318" s="16">
        <v>2018</v>
      </c>
      <c r="L318" s="1446">
        <v>186.05</v>
      </c>
      <c r="M318" s="1446"/>
      <c r="N318" s="170" t="s">
        <v>76</v>
      </c>
      <c r="O318" s="178" t="s">
        <v>1022</v>
      </c>
      <c r="P318" s="172" t="s">
        <v>78</v>
      </c>
      <c r="Q318" s="173" t="s">
        <v>1023</v>
      </c>
      <c r="R318" s="173" t="s">
        <v>4412</v>
      </c>
      <c r="S318" s="174">
        <v>688990.42</v>
      </c>
      <c r="T318" s="582">
        <v>43221</v>
      </c>
      <c r="U318" s="176">
        <v>43224</v>
      </c>
      <c r="V318" s="177">
        <v>43285</v>
      </c>
      <c r="W318" s="105">
        <v>43221</v>
      </c>
      <c r="X318" s="178" t="s">
        <v>636</v>
      </c>
      <c r="Y318" s="18" t="s">
        <v>3050</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63"/>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93"/>
      <c r="I319" s="331">
        <v>43325</v>
      </c>
      <c r="J319" s="331"/>
      <c r="K319" s="16">
        <v>2018</v>
      </c>
      <c r="L319" s="1446">
        <v>186.06</v>
      </c>
      <c r="M319" s="1446"/>
      <c r="N319" s="170" t="s">
        <v>76</v>
      </c>
      <c r="O319" s="987" t="s">
        <v>1025</v>
      </c>
      <c r="P319" s="172" t="s">
        <v>78</v>
      </c>
      <c r="Q319" s="173" t="s">
        <v>1026</v>
      </c>
      <c r="R319" s="173" t="s">
        <v>4412</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62"/>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93"/>
      <c r="I321" s="331">
        <v>43389</v>
      </c>
      <c r="J321" s="331"/>
      <c r="K321" s="16">
        <v>2018</v>
      </c>
      <c r="L321" s="1446">
        <v>186.08</v>
      </c>
      <c r="M321" s="1446"/>
      <c r="N321" s="170" t="s">
        <v>76</v>
      </c>
      <c r="O321" s="178" t="s">
        <v>1033</v>
      </c>
      <c r="P321" s="172" t="s">
        <v>78</v>
      </c>
      <c r="Q321" s="173" t="s">
        <v>1034</v>
      </c>
      <c r="R321" s="173" t="s">
        <v>4412</v>
      </c>
      <c r="S321" s="174">
        <v>142361.85</v>
      </c>
      <c r="T321" s="581">
        <v>43222</v>
      </c>
      <c r="U321" s="176">
        <v>43224</v>
      </c>
      <c r="V321" s="177">
        <v>43255</v>
      </c>
      <c r="W321" s="600">
        <v>43221</v>
      </c>
      <c r="X321" s="178" t="s">
        <v>636</v>
      </c>
      <c r="Y321" s="18" t="s">
        <v>3050</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63"/>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93"/>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73"/>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93"/>
      <c r="I323" s="331">
        <v>43319</v>
      </c>
      <c r="J323" s="331"/>
      <c r="K323" s="16">
        <v>2018</v>
      </c>
      <c r="L323" s="1446">
        <v>186.1</v>
      </c>
      <c r="M323" s="1446"/>
      <c r="N323" s="170" t="s">
        <v>76</v>
      </c>
      <c r="O323" s="178" t="s">
        <v>1042</v>
      </c>
      <c r="P323" s="172" t="s">
        <v>78</v>
      </c>
      <c r="Q323" s="173" t="s">
        <v>1043</v>
      </c>
      <c r="R323" s="173" t="s">
        <v>3626</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62"/>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93"/>
      <c r="I324" s="331">
        <v>43319</v>
      </c>
      <c r="J324" s="331"/>
      <c r="K324" s="16">
        <v>2018</v>
      </c>
      <c r="L324" s="1446">
        <v>186.11</v>
      </c>
      <c r="M324" s="1446"/>
      <c r="N324" s="170" t="s">
        <v>76</v>
      </c>
      <c r="O324" s="178" t="s">
        <v>1045</v>
      </c>
      <c r="P324" s="172" t="s">
        <v>78</v>
      </c>
      <c r="Q324" s="173" t="s">
        <v>1046</v>
      </c>
      <c r="R324" s="173" t="s">
        <v>3626</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62"/>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93"/>
      <c r="I325" s="331">
        <v>43389</v>
      </c>
      <c r="J325" s="331"/>
      <c r="K325" s="16">
        <v>2018</v>
      </c>
      <c r="L325" s="1446">
        <v>186.12</v>
      </c>
      <c r="M325" s="1446"/>
      <c r="N325" s="170" t="s">
        <v>63</v>
      </c>
      <c r="O325" s="178" t="s">
        <v>1048</v>
      </c>
      <c r="P325" s="172" t="s">
        <v>78</v>
      </c>
      <c r="Q325" s="173" t="s">
        <v>1049</v>
      </c>
      <c r="R325" s="173" t="s">
        <v>2541</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64"/>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93"/>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62"/>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70"/>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93"/>
      <c r="I328" s="331">
        <v>43325</v>
      </c>
      <c r="J328" s="331"/>
      <c r="K328" s="16">
        <v>2018</v>
      </c>
      <c r="L328" s="1446">
        <v>186.15</v>
      </c>
      <c r="M328" s="1446"/>
      <c r="N328" s="170" t="s">
        <v>76</v>
      </c>
      <c r="O328" s="987" t="s">
        <v>1056</v>
      </c>
      <c r="P328" s="172" t="s">
        <v>78</v>
      </c>
      <c r="Q328" s="173" t="s">
        <v>1057</v>
      </c>
      <c r="R328" s="173" t="s">
        <v>4412</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62"/>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93"/>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62"/>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93"/>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62"/>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93"/>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62"/>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93"/>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62"/>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93"/>
      <c r="I333" s="331">
        <v>43409</v>
      </c>
      <c r="J333" s="331"/>
      <c r="K333" s="16">
        <v>2018</v>
      </c>
      <c r="L333" s="1446">
        <v>186.2</v>
      </c>
      <c r="M333" s="1446"/>
      <c r="N333" s="170" t="s">
        <v>76</v>
      </c>
      <c r="O333" s="987" t="s">
        <v>1080</v>
      </c>
      <c r="P333" s="172" t="s">
        <v>78</v>
      </c>
      <c r="Q333" s="173" t="s">
        <v>1081</v>
      </c>
      <c r="R333" s="173" t="s">
        <v>4412</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62"/>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93"/>
      <c r="I334" s="331">
        <v>43389</v>
      </c>
      <c r="J334" s="331"/>
      <c r="K334" s="16">
        <v>2018</v>
      </c>
      <c r="L334" s="1446">
        <v>186.21</v>
      </c>
      <c r="M334" s="1446"/>
      <c r="N334" s="170" t="s">
        <v>76</v>
      </c>
      <c r="O334" s="987" t="s">
        <v>1085</v>
      </c>
      <c r="P334" s="172" t="s">
        <v>78</v>
      </c>
      <c r="Q334" s="173" t="s">
        <v>1086</v>
      </c>
      <c r="R334" s="173" t="s">
        <v>4412</v>
      </c>
      <c r="S334" s="174">
        <v>32872.07</v>
      </c>
      <c r="T334" s="581">
        <v>43258</v>
      </c>
      <c r="U334" s="601">
        <v>43262</v>
      </c>
      <c r="V334" s="602">
        <v>43267</v>
      </c>
      <c r="W334" s="68">
        <v>43257</v>
      </c>
      <c r="X334" s="116" t="s">
        <v>198</v>
      </c>
      <c r="Y334" s="18" t="s">
        <v>3050</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60"/>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93"/>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62"/>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93"/>
      <c r="I336" s="331">
        <v>43389</v>
      </c>
      <c r="J336" s="331"/>
      <c r="K336" s="16">
        <v>2018</v>
      </c>
      <c r="L336" s="1446">
        <v>186.23</v>
      </c>
      <c r="M336" s="1446"/>
      <c r="N336" s="170" t="s">
        <v>165</v>
      </c>
      <c r="O336" s="178" t="s">
        <v>1093</v>
      </c>
      <c r="P336" s="172" t="s">
        <v>78</v>
      </c>
      <c r="Q336" s="173" t="s">
        <v>1094</v>
      </c>
      <c r="R336" s="173" t="s">
        <v>4826</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62"/>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93"/>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65"/>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93"/>
      <c r="I338" s="331">
        <v>43389</v>
      </c>
      <c r="J338" s="331"/>
      <c r="K338" s="169">
        <v>2018</v>
      </c>
      <c r="L338" s="1446">
        <v>186.25</v>
      </c>
      <c r="M338" s="1446"/>
      <c r="N338" s="170" t="s">
        <v>76</v>
      </c>
      <c r="O338" s="987" t="s">
        <v>1104</v>
      </c>
      <c r="P338" s="172" t="s">
        <v>78</v>
      </c>
      <c r="Q338" s="452" t="s">
        <v>1105</v>
      </c>
      <c r="R338" s="452" t="s">
        <v>4412</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60"/>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93"/>
      <c r="I339" s="331">
        <v>43409</v>
      </c>
      <c r="J339" s="331"/>
      <c r="K339" s="169">
        <v>2018</v>
      </c>
      <c r="L339" s="1446">
        <v>186.26</v>
      </c>
      <c r="M339" s="1446"/>
      <c r="N339" s="170" t="s">
        <v>76</v>
      </c>
      <c r="O339" s="987" t="s">
        <v>1108</v>
      </c>
      <c r="P339" s="172" t="s">
        <v>78</v>
      </c>
      <c r="Q339" s="173" t="s">
        <v>1109</v>
      </c>
      <c r="R339" s="173" t="s">
        <v>4412</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60"/>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93"/>
      <c r="I340" s="331">
        <v>43409</v>
      </c>
      <c r="J340" s="331"/>
      <c r="K340" s="169">
        <v>2018</v>
      </c>
      <c r="L340" s="1446">
        <v>186.27</v>
      </c>
      <c r="M340" s="1446"/>
      <c r="N340" s="170" t="s">
        <v>76</v>
      </c>
      <c r="O340" s="987" t="s">
        <v>1113</v>
      </c>
      <c r="P340" s="172" t="s">
        <v>78</v>
      </c>
      <c r="Q340" s="173" t="s">
        <v>1114</v>
      </c>
      <c r="R340" s="173" t="s">
        <v>2541</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60"/>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93"/>
      <c r="I341" s="331"/>
      <c r="J341" s="331"/>
      <c r="K341" s="169">
        <v>2018</v>
      </c>
      <c r="L341" s="1446">
        <v>186.28</v>
      </c>
      <c r="M341" s="1446"/>
      <c r="N341" s="170" t="s">
        <v>76</v>
      </c>
      <c r="O341" s="987" t="s">
        <v>1119</v>
      </c>
      <c r="P341" s="172" t="s">
        <v>78</v>
      </c>
      <c r="Q341" s="173" t="s">
        <v>1120</v>
      </c>
      <c r="R341" s="173" t="s">
        <v>4412</v>
      </c>
      <c r="S341" s="174">
        <v>87399.62</v>
      </c>
      <c r="T341" s="581">
        <v>43326</v>
      </c>
      <c r="U341" s="601">
        <v>43333</v>
      </c>
      <c r="V341" s="602">
        <v>43358</v>
      </c>
      <c r="W341" s="68">
        <v>43326</v>
      </c>
      <c r="X341" s="178" t="s">
        <v>636</v>
      </c>
      <c r="Y341" s="18" t="s">
        <v>3050</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60"/>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93"/>
      <c r="I342" s="331"/>
      <c r="J342" s="331"/>
      <c r="K342" s="169">
        <v>2018</v>
      </c>
      <c r="L342" s="1446">
        <v>186.29</v>
      </c>
      <c r="M342" s="1446"/>
      <c r="N342" s="170" t="s">
        <v>76</v>
      </c>
      <c r="O342" s="987" t="s">
        <v>1122</v>
      </c>
      <c r="P342" s="172" t="s">
        <v>78</v>
      </c>
      <c r="Q342" s="173" t="s">
        <v>1123</v>
      </c>
      <c r="R342" s="173" t="s">
        <v>2541</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60"/>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93"/>
      <c r="I343" s="331">
        <v>43409</v>
      </c>
      <c r="J343" s="331"/>
      <c r="K343" s="169">
        <v>2018</v>
      </c>
      <c r="L343" s="1446">
        <v>186.3</v>
      </c>
      <c r="M343" s="1446"/>
      <c r="N343" s="170" t="s">
        <v>76</v>
      </c>
      <c r="O343" s="987" t="s">
        <v>1127</v>
      </c>
      <c r="P343" s="172" t="s">
        <v>78</v>
      </c>
      <c r="Q343" s="173" t="s">
        <v>1128</v>
      </c>
      <c r="R343" s="173" t="s">
        <v>2541</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60"/>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93"/>
      <c r="I344" s="331">
        <v>43470</v>
      </c>
      <c r="J344" s="331"/>
      <c r="K344" s="169">
        <v>2018</v>
      </c>
      <c r="L344" s="1446">
        <v>186.31</v>
      </c>
      <c r="M344" s="1446"/>
      <c r="N344" s="170" t="s">
        <v>76</v>
      </c>
      <c r="O344" s="987" t="s">
        <v>1132</v>
      </c>
      <c r="P344" s="172" t="s">
        <v>78</v>
      </c>
      <c r="Q344" s="173" t="s">
        <v>1133</v>
      </c>
      <c r="R344" s="173" t="s">
        <v>2515</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60"/>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93"/>
      <c r="I345" s="331"/>
      <c r="J345" s="331"/>
      <c r="K345" s="169">
        <v>2018</v>
      </c>
      <c r="L345" s="1446">
        <v>186.32</v>
      </c>
      <c r="M345" s="1446"/>
      <c r="N345" s="170" t="s">
        <v>76</v>
      </c>
      <c r="O345" s="987" t="s">
        <v>1137</v>
      </c>
      <c r="P345" s="172" t="s">
        <v>78</v>
      </c>
      <c r="Q345" s="677" t="s">
        <v>1138</v>
      </c>
      <c r="R345" s="677" t="s">
        <v>4412</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68"/>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93"/>
      <c r="I346" s="331">
        <v>43560</v>
      </c>
      <c r="J346" s="331"/>
      <c r="K346" s="169">
        <v>2018</v>
      </c>
      <c r="L346" s="1446">
        <v>187.01</v>
      </c>
      <c r="M346" s="1446"/>
      <c r="N346" s="170" t="s">
        <v>76</v>
      </c>
      <c r="O346" s="178" t="s">
        <v>947</v>
      </c>
      <c r="P346" s="2" t="s">
        <v>4035</v>
      </c>
      <c r="Q346" s="173" t="s">
        <v>1140</v>
      </c>
      <c r="R346" s="173" t="s">
        <v>4412</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93"/>
      <c r="I347" s="331">
        <v>43560</v>
      </c>
      <c r="J347" s="331"/>
      <c r="K347" s="169">
        <v>2018</v>
      </c>
      <c r="L347" s="1446">
        <v>187.02</v>
      </c>
      <c r="M347" s="1446"/>
      <c r="N347" s="170" t="s">
        <v>76</v>
      </c>
      <c r="O347" s="178" t="s">
        <v>950</v>
      </c>
      <c r="P347" s="2" t="s">
        <v>4035</v>
      </c>
      <c r="Q347" s="173" t="s">
        <v>1143</v>
      </c>
      <c r="R347" s="173" t="s">
        <v>4412</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93"/>
      <c r="I348" s="331">
        <v>43560</v>
      </c>
      <c r="J348" s="331"/>
      <c r="K348" s="169">
        <v>2018</v>
      </c>
      <c r="L348" s="1446">
        <v>187.03</v>
      </c>
      <c r="M348" s="1446"/>
      <c r="N348" s="170" t="s">
        <v>76</v>
      </c>
      <c r="O348" s="178" t="s">
        <v>953</v>
      </c>
      <c r="P348" s="2" t="s">
        <v>4035</v>
      </c>
      <c r="Q348" s="173" t="s">
        <v>1144</v>
      </c>
      <c r="R348" s="173" t="s">
        <v>2541</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93"/>
      <c r="I349" s="331">
        <v>43560</v>
      </c>
      <c r="J349" s="331"/>
      <c r="K349" s="169">
        <v>2018</v>
      </c>
      <c r="L349" s="1446">
        <v>187.04</v>
      </c>
      <c r="M349" s="1446"/>
      <c r="N349" s="170" t="s">
        <v>76</v>
      </c>
      <c r="O349" s="987" t="s">
        <v>956</v>
      </c>
      <c r="P349" s="2" t="s">
        <v>4035</v>
      </c>
      <c r="Q349" s="173" t="s">
        <v>1146</v>
      </c>
      <c r="R349" s="173" t="s">
        <v>2541</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93"/>
      <c r="I350" s="331">
        <v>43837</v>
      </c>
      <c r="J350" s="331"/>
      <c r="K350" s="169">
        <v>2019</v>
      </c>
      <c r="L350" s="1446">
        <v>190.03</v>
      </c>
      <c r="M350" s="1446"/>
      <c r="N350" s="170" t="s">
        <v>1154</v>
      </c>
      <c r="O350" s="178" t="s">
        <v>1155</v>
      </c>
      <c r="P350" s="172" t="s">
        <v>466</v>
      </c>
      <c r="Q350" s="173" t="s">
        <v>1156</v>
      </c>
      <c r="R350" s="173" t="s">
        <v>2666</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93"/>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93"/>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93"/>
      <c r="I353" s="331">
        <v>43685</v>
      </c>
      <c r="J353" s="331"/>
      <c r="K353" s="169">
        <v>2019</v>
      </c>
      <c r="L353" s="1446">
        <v>191.01</v>
      </c>
      <c r="M353" s="1446"/>
      <c r="N353" s="170" t="s">
        <v>165</v>
      </c>
      <c r="O353" s="178" t="s">
        <v>1158</v>
      </c>
      <c r="P353" s="2" t="s">
        <v>4035</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60"/>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3050</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54"/>
      <c r="BG354" s="1093" t="s">
        <v>67</v>
      </c>
      <c r="BH354" s="1093" t="s">
        <v>67</v>
      </c>
      <c r="BI354" s="1092" t="s">
        <v>67</v>
      </c>
      <c r="BJ354" s="1103">
        <f t="shared" si="10"/>
        <v>0</v>
      </c>
      <c r="BK354" s="1104" t="s">
        <v>67</v>
      </c>
      <c r="BL354" s="1905"/>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3050</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54"/>
      <c r="BG355" s="1093" t="s">
        <v>67</v>
      </c>
      <c r="BH355" s="1093" t="s">
        <v>67</v>
      </c>
      <c r="BI355" s="1092" t="s">
        <v>67</v>
      </c>
      <c r="BJ355" s="1103">
        <f t="shared" si="10"/>
        <v>0</v>
      </c>
      <c r="BK355" s="1104" t="s">
        <v>67</v>
      </c>
      <c r="BL355" s="1905"/>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93"/>
      <c r="I356" s="331">
        <v>43647</v>
      </c>
      <c r="J356" s="331"/>
      <c r="K356" s="169">
        <v>2019</v>
      </c>
      <c r="L356" s="1450">
        <v>191.04</v>
      </c>
      <c r="M356" s="1450"/>
      <c r="N356" s="170" t="s">
        <v>165</v>
      </c>
      <c r="O356" s="178" t="s">
        <v>1166</v>
      </c>
      <c r="P356" s="2" t="s">
        <v>4035</v>
      </c>
      <c r="Q356" s="173" t="s">
        <v>1167</v>
      </c>
      <c r="R356" s="173" t="s">
        <v>4412</v>
      </c>
      <c r="S356" s="174">
        <v>22876.2</v>
      </c>
      <c r="T356" s="582">
        <v>43588</v>
      </c>
      <c r="U356" s="176">
        <v>43592</v>
      </c>
      <c r="V356" s="177">
        <v>43623</v>
      </c>
      <c r="W356" s="105" t="s">
        <v>67</v>
      </c>
      <c r="X356" s="178" t="s">
        <v>1176</v>
      </c>
      <c r="Y356" s="170" t="s">
        <v>3050</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61"/>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93"/>
      <c r="I357" s="331">
        <v>43647</v>
      </c>
      <c r="J357" s="331"/>
      <c r="K357" s="169">
        <v>2019</v>
      </c>
      <c r="L357" s="1450">
        <v>191.05</v>
      </c>
      <c r="M357" s="1450"/>
      <c r="N357" s="170" t="s">
        <v>165</v>
      </c>
      <c r="O357" s="178" t="s">
        <v>1169</v>
      </c>
      <c r="P357" s="2" t="s">
        <v>4035</v>
      </c>
      <c r="Q357" s="173" t="s">
        <v>1170</v>
      </c>
      <c r="R357" s="173" t="s">
        <v>4412</v>
      </c>
      <c r="S357" s="174">
        <v>18491.009999999998</v>
      </c>
      <c r="T357" s="582">
        <v>43588</v>
      </c>
      <c r="U357" s="176">
        <v>43592</v>
      </c>
      <c r="V357" s="177">
        <v>43623</v>
      </c>
      <c r="W357" s="105" t="s">
        <v>67</v>
      </c>
      <c r="X357" s="178" t="s">
        <v>1176</v>
      </c>
      <c r="Y357" s="170" t="s">
        <v>3050</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61"/>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93"/>
      <c r="I358" s="331">
        <v>43647</v>
      </c>
      <c r="J358" s="331"/>
      <c r="K358" s="169">
        <v>2019</v>
      </c>
      <c r="L358" s="1450">
        <v>191.06</v>
      </c>
      <c r="M358" s="1450"/>
      <c r="N358" s="170" t="s">
        <v>165</v>
      </c>
      <c r="O358" s="178" t="s">
        <v>1171</v>
      </c>
      <c r="P358" s="2" t="s">
        <v>4035</v>
      </c>
      <c r="Q358" s="173" t="s">
        <v>1172</v>
      </c>
      <c r="R358" s="173" t="s">
        <v>4412</v>
      </c>
      <c r="S358" s="174">
        <v>13050.14</v>
      </c>
      <c r="T358" s="582">
        <v>43588</v>
      </c>
      <c r="U358" s="176">
        <v>43592</v>
      </c>
      <c r="V358" s="177">
        <v>43623</v>
      </c>
      <c r="W358" s="105" t="s">
        <v>67</v>
      </c>
      <c r="X358" s="178" t="s">
        <v>1176</v>
      </c>
      <c r="Y358" s="170" t="s">
        <v>3050</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61"/>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93"/>
      <c r="I359" s="331">
        <v>43831</v>
      </c>
      <c r="J359" s="331"/>
      <c r="K359" s="169">
        <v>2019</v>
      </c>
      <c r="L359" s="1450">
        <v>191.07</v>
      </c>
      <c r="M359" s="1450"/>
      <c r="N359" s="170" t="s">
        <v>165</v>
      </c>
      <c r="O359" s="178" t="s">
        <v>1174</v>
      </c>
      <c r="P359" s="2" t="s">
        <v>4035</v>
      </c>
      <c r="Q359" s="173" t="s">
        <v>1175</v>
      </c>
      <c r="R359" s="173" t="s">
        <v>2578</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93"/>
      <c r="I360" s="331"/>
      <c r="J360" s="331"/>
      <c r="K360" s="169">
        <v>2019</v>
      </c>
      <c r="L360" s="1450">
        <v>191.08</v>
      </c>
      <c r="M360" s="1450"/>
      <c r="N360" s="170" t="s">
        <v>1178</v>
      </c>
      <c r="O360" s="178" t="s">
        <v>1179</v>
      </c>
      <c r="P360" s="2" t="s">
        <v>4035</v>
      </c>
      <c r="Q360" s="173" t="s">
        <v>1180</v>
      </c>
      <c r="R360" s="173" t="s">
        <v>2666</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93"/>
      <c r="I361" s="331"/>
      <c r="J361" s="331"/>
      <c r="K361" s="169">
        <v>2019</v>
      </c>
      <c r="L361" s="1450">
        <v>191.09</v>
      </c>
      <c r="M361" s="1450"/>
      <c r="N361" s="170" t="s">
        <v>165</v>
      </c>
      <c r="O361" s="178" t="s">
        <v>1182</v>
      </c>
      <c r="P361" s="2" t="s">
        <v>4035</v>
      </c>
      <c r="Q361" s="173" t="s">
        <v>1183</v>
      </c>
      <c r="R361" s="173" t="s">
        <v>2666</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93"/>
      <c r="I362" s="331"/>
      <c r="J362" s="331"/>
      <c r="K362" s="169">
        <v>2019</v>
      </c>
      <c r="L362" s="1450">
        <v>191.1</v>
      </c>
      <c r="M362" s="1450"/>
      <c r="N362" s="170" t="s">
        <v>165</v>
      </c>
      <c r="O362" s="178" t="s">
        <v>1185</v>
      </c>
      <c r="P362" s="2" t="s">
        <v>4035</v>
      </c>
      <c r="Q362" s="173" t="s">
        <v>1186</v>
      </c>
      <c r="R362" s="173" t="s">
        <v>4827</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93"/>
      <c r="I363" s="331">
        <v>43837</v>
      </c>
      <c r="J363" s="331"/>
      <c r="K363" s="169">
        <v>2019</v>
      </c>
      <c r="L363" s="1450">
        <v>191.11</v>
      </c>
      <c r="M363" s="1450"/>
      <c r="N363" s="170" t="s">
        <v>76</v>
      </c>
      <c r="O363" s="178" t="s">
        <v>1188</v>
      </c>
      <c r="P363" s="2" t="s">
        <v>4035</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61"/>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93"/>
      <c r="I364" s="331">
        <v>43837</v>
      </c>
      <c r="J364" s="331"/>
      <c r="K364" s="169">
        <v>2019</v>
      </c>
      <c r="L364" s="1450">
        <v>191.12</v>
      </c>
      <c r="M364" s="1450"/>
      <c r="N364" s="170" t="s">
        <v>76</v>
      </c>
      <c r="O364" s="178" t="s">
        <v>1191</v>
      </c>
      <c r="P364" s="2" t="s">
        <v>4035</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61"/>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93"/>
      <c r="I365" s="331">
        <v>43837</v>
      </c>
      <c r="J365" s="331"/>
      <c r="K365" s="169">
        <v>2019</v>
      </c>
      <c r="L365" s="1450">
        <v>191.13</v>
      </c>
      <c r="M365" s="1450"/>
      <c r="N365" s="170" t="s">
        <v>76</v>
      </c>
      <c r="O365" s="178" t="s">
        <v>1195</v>
      </c>
      <c r="P365" s="2" t="s">
        <v>4035</v>
      </c>
      <c r="Q365" s="173" t="s">
        <v>1196</v>
      </c>
      <c r="R365" s="173" t="s">
        <v>4412</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61"/>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2810</v>
      </c>
    </row>
    <row r="366" spans="2:84" ht="113.25" hidden="1" customHeight="1">
      <c r="B366" s="22"/>
      <c r="C366" s="22"/>
      <c r="D366" s="22"/>
      <c r="E366" s="921">
        <v>44075</v>
      </c>
      <c r="F366" s="921"/>
      <c r="G366" s="925">
        <v>44011</v>
      </c>
      <c r="H366" s="1793"/>
      <c r="I366" s="331">
        <v>43837</v>
      </c>
      <c r="J366" s="331"/>
      <c r="K366" s="169">
        <v>2019</v>
      </c>
      <c r="L366" s="1450">
        <v>191.14</v>
      </c>
      <c r="M366" s="1450"/>
      <c r="N366" s="170" t="s">
        <v>76</v>
      </c>
      <c r="O366" s="178" t="s">
        <v>1198</v>
      </c>
      <c r="P366" s="2" t="s">
        <v>4035</v>
      </c>
      <c r="Q366" s="173" t="s">
        <v>1199</v>
      </c>
      <c r="R366" s="173" t="s">
        <v>4412</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61"/>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93"/>
      <c r="I367" s="331">
        <v>43837</v>
      </c>
      <c r="J367" s="331"/>
      <c r="K367" s="169">
        <v>2019</v>
      </c>
      <c r="L367" s="1450">
        <v>191.15</v>
      </c>
      <c r="M367" s="1450"/>
      <c r="N367" s="170" t="s">
        <v>76</v>
      </c>
      <c r="O367" s="178" t="s">
        <v>1201</v>
      </c>
      <c r="P367" s="2" t="s">
        <v>4035</v>
      </c>
      <c r="Q367" s="173" t="s">
        <v>1202</v>
      </c>
      <c r="R367" s="173" t="s">
        <v>4412</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61"/>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54"/>
      <c r="BG368" s="1093"/>
      <c r="BH368" s="1093"/>
      <c r="BI368" s="1092"/>
      <c r="BJ368" s="1103"/>
      <c r="BK368" s="1104" t="s">
        <v>67</v>
      </c>
      <c r="BL368" s="1905"/>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93"/>
      <c r="I369" s="331">
        <v>44302</v>
      </c>
      <c r="J369" s="331"/>
      <c r="K369" s="169">
        <v>2019</v>
      </c>
      <c r="L369" s="1450">
        <v>191.17</v>
      </c>
      <c r="M369" s="1450"/>
      <c r="N369" s="170" t="s">
        <v>1147</v>
      </c>
      <c r="O369" s="178" t="s">
        <v>1205</v>
      </c>
      <c r="P369" s="2" t="s">
        <v>4035</v>
      </c>
      <c r="Q369" s="173" t="s">
        <v>1206</v>
      </c>
      <c r="R369" s="173" t="s">
        <v>4412</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93"/>
      <c r="I370" s="331">
        <v>43837</v>
      </c>
      <c r="J370" s="331"/>
      <c r="K370" s="169">
        <v>2019</v>
      </c>
      <c r="L370" s="1450">
        <v>191.18</v>
      </c>
      <c r="M370" s="1450"/>
      <c r="N370" s="170" t="s">
        <v>76</v>
      </c>
      <c r="O370" s="178" t="s">
        <v>1208</v>
      </c>
      <c r="P370" s="2" t="s">
        <v>4035</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54"/>
      <c r="BG371" s="1093"/>
      <c r="BH371" s="1093"/>
      <c r="BI371" s="1092"/>
      <c r="BJ371" s="1103"/>
      <c r="BK371" s="1104" t="s">
        <v>67</v>
      </c>
      <c r="BL371" s="1905"/>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93"/>
      <c r="I372" s="331"/>
      <c r="J372" s="331"/>
      <c r="K372" s="169">
        <v>2019</v>
      </c>
      <c r="L372" s="1450">
        <v>191.2</v>
      </c>
      <c r="M372" s="1450"/>
      <c r="N372" s="170" t="s">
        <v>76</v>
      </c>
      <c r="O372" s="178" t="s">
        <v>1213</v>
      </c>
      <c r="P372" s="2" t="s">
        <v>4035</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54"/>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93"/>
      <c r="I374" s="331"/>
      <c r="J374" s="331"/>
      <c r="K374" s="169">
        <v>2019</v>
      </c>
      <c r="L374" s="1450">
        <v>191.22</v>
      </c>
      <c r="M374" s="1450"/>
      <c r="N374" s="170" t="s">
        <v>76</v>
      </c>
      <c r="O374" s="178" t="s">
        <v>1218</v>
      </c>
      <c r="P374" s="2" t="s">
        <v>4035</v>
      </c>
      <c r="Q374" s="173" t="s">
        <v>1219</v>
      </c>
      <c r="R374" s="173" t="s">
        <v>4412</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61"/>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2810</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54"/>
      <c r="BG375" s="1093"/>
      <c r="BH375" s="1093"/>
      <c r="BI375" s="1092"/>
      <c r="BJ375" s="1103"/>
      <c r="BK375" s="1104" t="s">
        <v>67</v>
      </c>
      <c r="BL375" s="1905"/>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93"/>
      <c r="I376" s="331"/>
      <c r="J376" s="331"/>
      <c r="K376" s="169">
        <v>2019</v>
      </c>
      <c r="L376" s="1450">
        <v>191.24</v>
      </c>
      <c r="M376" s="1450"/>
      <c r="N376" s="170" t="s">
        <v>76</v>
      </c>
      <c r="O376" s="178" t="s">
        <v>1226</v>
      </c>
      <c r="P376" s="2" t="s">
        <v>4035</v>
      </c>
      <c r="Q376" s="173" t="s">
        <v>1227</v>
      </c>
      <c r="R376" s="173" t="s">
        <v>2541</v>
      </c>
      <c r="S376" s="174">
        <v>11470</v>
      </c>
      <c r="T376" s="582">
        <v>43801</v>
      </c>
      <c r="U376" s="176">
        <v>43825</v>
      </c>
      <c r="V376" s="177">
        <v>43830</v>
      </c>
      <c r="W376" s="105" t="s">
        <v>67</v>
      </c>
      <c r="X376" s="178" t="s">
        <v>1176</v>
      </c>
      <c r="Y376" s="170" t="s">
        <v>3050</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61"/>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54"/>
      <c r="BG377" s="1093"/>
      <c r="BH377" s="1093"/>
      <c r="BI377" s="1092"/>
      <c r="BJ377" s="1103"/>
      <c r="BK377" s="1104" t="s">
        <v>67</v>
      </c>
      <c r="BL377" s="1905"/>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93"/>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93"/>
      <c r="I379" s="331"/>
      <c r="J379" s="331"/>
      <c r="K379" s="169">
        <v>2019</v>
      </c>
      <c r="L379" s="1450">
        <v>192.2</v>
      </c>
      <c r="M379" s="1450"/>
      <c r="N379" s="170" t="s">
        <v>1147</v>
      </c>
      <c r="O379" s="178" t="s">
        <v>1234</v>
      </c>
      <c r="P379" s="172" t="s">
        <v>1231</v>
      </c>
      <c r="Q379" s="173" t="s">
        <v>1235</v>
      </c>
      <c r="R379" s="173" t="s">
        <v>2580</v>
      </c>
      <c r="S379" s="174">
        <v>256520.08</v>
      </c>
      <c r="T379" s="582">
        <v>43759</v>
      </c>
      <c r="U379" s="176" t="s">
        <v>67</v>
      </c>
      <c r="V379" s="177" t="s">
        <v>67</v>
      </c>
      <c r="W379" s="105" t="s">
        <v>67</v>
      </c>
      <c r="X379" s="178" t="s">
        <v>1236</v>
      </c>
      <c r="Y379" s="170" t="s">
        <v>3050</v>
      </c>
      <c r="Z379" s="1122" t="s">
        <v>67</v>
      </c>
      <c r="AA379" s="1408"/>
      <c r="AB379" s="33" t="s">
        <v>2866</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93"/>
      <c r="I380" s="331"/>
      <c r="J380" s="331"/>
      <c r="K380" s="169">
        <v>2019</v>
      </c>
      <c r="L380" s="1450">
        <v>192.3</v>
      </c>
      <c r="M380" s="1450"/>
      <c r="N380" s="170" t="s">
        <v>1147</v>
      </c>
      <c r="O380" s="178" t="s">
        <v>1237</v>
      </c>
      <c r="P380" s="172" t="s">
        <v>1231</v>
      </c>
      <c r="Q380" s="173" t="s">
        <v>1238</v>
      </c>
      <c r="R380" s="173" t="s">
        <v>4412</v>
      </c>
      <c r="S380" s="174">
        <v>256520.08</v>
      </c>
      <c r="T380" s="582">
        <v>43759</v>
      </c>
      <c r="U380" s="176" t="s">
        <v>67</v>
      </c>
      <c r="V380" s="177" t="s">
        <v>67</v>
      </c>
      <c r="W380" s="105" t="s">
        <v>67</v>
      </c>
      <c r="X380" s="178" t="s">
        <v>1236</v>
      </c>
      <c r="Y380" s="170" t="s">
        <v>983</v>
      </c>
      <c r="Z380" s="1122" t="s">
        <v>67</v>
      </c>
      <c r="AA380" s="1408"/>
      <c r="AB380" s="33" t="s">
        <v>2866</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93"/>
      <c r="I381" s="331"/>
      <c r="J381" s="331"/>
      <c r="K381" s="169">
        <v>2019</v>
      </c>
      <c r="L381" s="1450">
        <v>193.1</v>
      </c>
      <c r="M381" s="1450"/>
      <c r="N381" s="170" t="s">
        <v>165</v>
      </c>
      <c r="O381" s="178" t="s">
        <v>1239</v>
      </c>
      <c r="P381" s="172" t="s">
        <v>46</v>
      </c>
      <c r="Q381" s="173" t="s">
        <v>1240</v>
      </c>
      <c r="R381" s="173" t="s">
        <v>2666</v>
      </c>
      <c r="S381" s="174">
        <v>4800</v>
      </c>
      <c r="T381" s="582">
        <v>43699</v>
      </c>
      <c r="U381" s="176">
        <v>43699</v>
      </c>
      <c r="V381" s="177">
        <v>43821</v>
      </c>
      <c r="W381" s="105" t="s">
        <v>67</v>
      </c>
      <c r="X381" s="178" t="s">
        <v>2765</v>
      </c>
      <c r="Y381" s="170" t="s">
        <v>67</v>
      </c>
      <c r="Z381" s="1122" t="s">
        <v>67</v>
      </c>
      <c r="AA381" s="1408"/>
      <c r="AB381" s="33" t="s">
        <v>2867</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93"/>
      <c r="I382" s="331">
        <v>44021</v>
      </c>
      <c r="J382" s="331"/>
      <c r="K382" s="169">
        <v>2019</v>
      </c>
      <c r="L382" s="1450">
        <v>195.1</v>
      </c>
      <c r="M382" s="1450"/>
      <c r="N382" s="170" t="s">
        <v>76</v>
      </c>
      <c r="O382" s="178" t="s">
        <v>2911</v>
      </c>
      <c r="P382" s="172" t="s">
        <v>45</v>
      </c>
      <c r="Q382" s="173" t="s">
        <v>2912</v>
      </c>
      <c r="R382" s="173" t="s">
        <v>2578</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93"/>
      <c r="I383" s="331">
        <v>43685</v>
      </c>
      <c r="J383" s="331"/>
      <c r="K383" s="169">
        <v>2019</v>
      </c>
      <c r="L383" s="1450">
        <v>196.01</v>
      </c>
      <c r="M383" s="1450"/>
      <c r="N383" s="170" t="s">
        <v>76</v>
      </c>
      <c r="O383" s="178" t="s">
        <v>1241</v>
      </c>
      <c r="P383" s="172" t="s">
        <v>78</v>
      </c>
      <c r="Q383" s="173" t="s">
        <v>1242</v>
      </c>
      <c r="R383" s="173" t="s">
        <v>4412</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93"/>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3050</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52"/>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93"/>
      <c r="I385" s="331">
        <v>43685</v>
      </c>
      <c r="J385" s="331"/>
      <c r="K385" s="169">
        <v>2019</v>
      </c>
      <c r="L385" s="1450">
        <v>196.03</v>
      </c>
      <c r="M385" s="1450"/>
      <c r="N385" s="170" t="s">
        <v>76</v>
      </c>
      <c r="O385" s="178" t="s">
        <v>1248</v>
      </c>
      <c r="P385" s="172" t="s">
        <v>250</v>
      </c>
      <c r="Q385" s="173" t="s">
        <v>1249</v>
      </c>
      <c r="R385" s="173" t="s">
        <v>4412</v>
      </c>
      <c r="S385" s="174">
        <v>400650.13</v>
      </c>
      <c r="T385" s="582">
        <v>43609</v>
      </c>
      <c r="U385" s="176">
        <v>43612</v>
      </c>
      <c r="V385" s="177">
        <v>43629</v>
      </c>
      <c r="W385" s="105">
        <v>43608</v>
      </c>
      <c r="X385" s="178" t="s">
        <v>1250</v>
      </c>
      <c r="Y385" s="170" t="s">
        <v>3050</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93"/>
      <c r="I386" s="331">
        <v>43647</v>
      </c>
      <c r="J386" s="331"/>
      <c r="K386" s="169">
        <v>2019</v>
      </c>
      <c r="L386" s="1450">
        <v>196.04</v>
      </c>
      <c r="M386" s="1450"/>
      <c r="N386" s="170" t="s">
        <v>76</v>
      </c>
      <c r="O386" s="178" t="s">
        <v>1252</v>
      </c>
      <c r="P386" s="172" t="s">
        <v>78</v>
      </c>
      <c r="Q386" s="173" t="s">
        <v>1253</v>
      </c>
      <c r="R386" s="173" t="s">
        <v>2541</v>
      </c>
      <c r="S386" s="174">
        <v>149018.54</v>
      </c>
      <c r="T386" s="582">
        <v>43609</v>
      </c>
      <c r="U386" s="176">
        <v>43612</v>
      </c>
      <c r="V386" s="177">
        <v>43626</v>
      </c>
      <c r="W386" s="105">
        <v>43608</v>
      </c>
      <c r="X386" s="178" t="s">
        <v>1224</v>
      </c>
      <c r="Y386" s="170" t="s">
        <v>3050</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52"/>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93"/>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61"/>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93"/>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61"/>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93"/>
      <c r="I389" s="331">
        <v>43647</v>
      </c>
      <c r="J389" s="331"/>
      <c r="K389" s="169">
        <v>2019</v>
      </c>
      <c r="L389" s="1450">
        <v>196.07</v>
      </c>
      <c r="M389" s="1450"/>
      <c r="N389" s="170" t="s">
        <v>76</v>
      </c>
      <c r="O389" s="178" t="s">
        <v>1265</v>
      </c>
      <c r="P389" s="172" t="s">
        <v>250</v>
      </c>
      <c r="Q389" s="173" t="s">
        <v>1266</v>
      </c>
      <c r="R389" s="173" t="s">
        <v>4412</v>
      </c>
      <c r="S389" s="174">
        <v>949742.46</v>
      </c>
      <c r="T389" s="582">
        <v>43606</v>
      </c>
      <c r="U389" s="176">
        <v>43612</v>
      </c>
      <c r="V389" s="177">
        <v>43643</v>
      </c>
      <c r="W389" s="105">
        <v>43605</v>
      </c>
      <c r="X389" s="178" t="s">
        <v>1267</v>
      </c>
      <c r="Y389" s="170" t="s">
        <v>3050</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52"/>
      <c r="BG389" s="5">
        <v>43612</v>
      </c>
      <c r="BH389" s="5">
        <v>43643</v>
      </c>
      <c r="BI389" s="5">
        <v>43638</v>
      </c>
      <c r="BJ389" s="36">
        <f>AT389+AU389</f>
        <v>949738.6</v>
      </c>
      <c r="BK389" s="378">
        <v>43641</v>
      </c>
      <c r="BL389" s="1908"/>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93"/>
      <c r="I390" s="331">
        <v>43685</v>
      </c>
      <c r="J390" s="331"/>
      <c r="K390" s="169">
        <v>2019</v>
      </c>
      <c r="L390" s="1450">
        <v>196.08</v>
      </c>
      <c r="M390" s="1450"/>
      <c r="N390" s="170" t="s">
        <v>165</v>
      </c>
      <c r="O390" s="178" t="s">
        <v>1273</v>
      </c>
      <c r="P390" s="172" t="s">
        <v>78</v>
      </c>
      <c r="Q390" s="173" t="s">
        <v>1274</v>
      </c>
      <c r="R390" s="173" t="s">
        <v>4413</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908"/>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93"/>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93"/>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93"/>
      <c r="I393" s="331">
        <v>43891</v>
      </c>
      <c r="J393" s="331"/>
      <c r="K393" s="169">
        <v>2019</v>
      </c>
      <c r="L393" s="1450">
        <v>196.11</v>
      </c>
      <c r="M393" s="1450"/>
      <c r="N393" s="170" t="s">
        <v>165</v>
      </c>
      <c r="O393" s="178" t="s">
        <v>1289</v>
      </c>
      <c r="P393" s="172" t="s">
        <v>78</v>
      </c>
      <c r="Q393" s="173" t="s">
        <v>1290</v>
      </c>
      <c r="R393" s="173" t="s">
        <v>4826</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2868</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3054</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54"/>
      <c r="BG394" s="1093"/>
      <c r="BH394" s="1093"/>
      <c r="BI394" s="1093"/>
      <c r="BJ394" s="1103">
        <f>AT394+AU394</f>
        <v>0</v>
      </c>
      <c r="BK394" s="1104"/>
      <c r="BL394" s="1905"/>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93"/>
      <c r="I395" s="331">
        <v>43647</v>
      </c>
      <c r="J395" s="331"/>
      <c r="K395" s="169">
        <v>2019</v>
      </c>
      <c r="L395" s="1450">
        <v>196.13</v>
      </c>
      <c r="M395" s="1450"/>
      <c r="N395" s="170" t="s">
        <v>76</v>
      </c>
      <c r="O395" s="178" t="s">
        <v>1296</v>
      </c>
      <c r="P395" s="172" t="s">
        <v>78</v>
      </c>
      <c r="Q395" s="173" t="s">
        <v>1297</v>
      </c>
      <c r="R395" s="173" t="s">
        <v>2541</v>
      </c>
      <c r="S395" s="174">
        <v>75313.95</v>
      </c>
      <c r="T395" s="582">
        <v>43626</v>
      </c>
      <c r="U395" s="176">
        <v>43627</v>
      </c>
      <c r="V395" s="177">
        <v>43637</v>
      </c>
      <c r="W395" s="105">
        <v>43608</v>
      </c>
      <c r="X395" s="178" t="s">
        <v>1224</v>
      </c>
      <c r="Y395" s="170" t="s">
        <v>3050</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61"/>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93"/>
      <c r="I396" s="331">
        <v>43714</v>
      </c>
      <c r="J396" s="331"/>
      <c r="K396" s="169">
        <v>2019</v>
      </c>
      <c r="L396" s="1450">
        <v>196.14</v>
      </c>
      <c r="M396" s="1450"/>
      <c r="N396" s="170" t="s">
        <v>76</v>
      </c>
      <c r="O396" s="178" t="s">
        <v>1299</v>
      </c>
      <c r="P396" s="172" t="s">
        <v>78</v>
      </c>
      <c r="Q396" s="173" t="s">
        <v>1300</v>
      </c>
      <c r="R396" s="173" t="s">
        <v>2541</v>
      </c>
      <c r="S396" s="586">
        <v>179219.86</v>
      </c>
      <c r="T396" s="582">
        <v>43670</v>
      </c>
      <c r="U396" s="176">
        <v>43671</v>
      </c>
      <c r="V396" s="177">
        <v>43687</v>
      </c>
      <c r="W396" s="105">
        <v>43669</v>
      </c>
      <c r="X396" s="178" t="s">
        <v>1301</v>
      </c>
      <c r="Y396" s="170" t="s">
        <v>3050</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93"/>
      <c r="I397" s="331">
        <v>43777</v>
      </c>
      <c r="J397" s="331"/>
      <c r="K397" s="169">
        <v>2019</v>
      </c>
      <c r="L397" s="1450">
        <v>196.15</v>
      </c>
      <c r="M397" s="1450"/>
      <c r="N397" s="170" t="s">
        <v>76</v>
      </c>
      <c r="O397" s="178" t="s">
        <v>1303</v>
      </c>
      <c r="P397" s="172" t="s">
        <v>78</v>
      </c>
      <c r="Q397" s="173" t="s">
        <v>1304</v>
      </c>
      <c r="R397" s="173" t="s">
        <v>4412</v>
      </c>
      <c r="S397" s="174">
        <v>77778.12</v>
      </c>
      <c r="T397" s="582">
        <v>43694</v>
      </c>
      <c r="U397" s="176">
        <v>43703</v>
      </c>
      <c r="V397" s="177">
        <v>43742</v>
      </c>
      <c r="W397" s="105">
        <v>43693</v>
      </c>
      <c r="X397" s="178" t="s">
        <v>1305</v>
      </c>
      <c r="Y397" s="170" t="s">
        <v>3050</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93"/>
      <c r="I398" s="331">
        <v>43777</v>
      </c>
      <c r="J398" s="331"/>
      <c r="K398" s="169">
        <v>2019</v>
      </c>
      <c r="L398" s="1450">
        <v>196.16</v>
      </c>
      <c r="M398" s="1450"/>
      <c r="N398" s="170" t="s">
        <v>76</v>
      </c>
      <c r="O398" s="178" t="s">
        <v>1309</v>
      </c>
      <c r="P398" s="172" t="s">
        <v>78</v>
      </c>
      <c r="Q398" s="173" t="s">
        <v>1310</v>
      </c>
      <c r="R398" s="173" t="s">
        <v>4412</v>
      </c>
      <c r="S398" s="174">
        <v>108744.95</v>
      </c>
      <c r="T398" s="582">
        <v>43694</v>
      </c>
      <c r="U398" s="176">
        <v>43703</v>
      </c>
      <c r="V398" s="177">
        <v>43742</v>
      </c>
      <c r="W398" s="105">
        <v>43693</v>
      </c>
      <c r="X398" s="178" t="s">
        <v>1311</v>
      </c>
      <c r="Y398" s="170" t="s">
        <v>3050</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93"/>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61"/>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93"/>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61"/>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93"/>
      <c r="I401" s="331">
        <v>43777</v>
      </c>
      <c r="J401" s="331"/>
      <c r="K401" s="169">
        <v>2019</v>
      </c>
      <c r="L401" s="1450">
        <v>196.191</v>
      </c>
      <c r="M401" s="1450"/>
      <c r="N401" s="170" t="s">
        <v>76</v>
      </c>
      <c r="O401" s="178" t="s">
        <v>1324</v>
      </c>
      <c r="P401" s="172" t="s">
        <v>78</v>
      </c>
      <c r="Q401" s="173" t="s">
        <v>1325</v>
      </c>
      <c r="R401" s="173" t="s">
        <v>4412</v>
      </c>
      <c r="S401" s="174">
        <v>99707.9</v>
      </c>
      <c r="T401" s="545">
        <v>43707</v>
      </c>
      <c r="U401" s="998">
        <v>43710</v>
      </c>
      <c r="V401" s="999">
        <v>43731</v>
      </c>
      <c r="W401" s="1000">
        <v>43705</v>
      </c>
      <c r="X401" s="178" t="s">
        <v>1301</v>
      </c>
      <c r="Y401" s="170" t="s">
        <v>3050</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93"/>
      <c r="I402" s="331">
        <v>43777</v>
      </c>
      <c r="J402" s="331"/>
      <c r="K402" s="169">
        <v>2019</v>
      </c>
      <c r="L402" s="1450">
        <v>196.19200000000001</v>
      </c>
      <c r="M402" s="1450"/>
      <c r="N402" s="170" t="s">
        <v>76</v>
      </c>
      <c r="O402" s="178" t="s">
        <v>1324</v>
      </c>
      <c r="P402" s="172" t="s">
        <v>78</v>
      </c>
      <c r="Q402" s="173" t="s">
        <v>1327</v>
      </c>
      <c r="R402" s="173" t="s">
        <v>4412</v>
      </c>
      <c r="S402" s="174">
        <v>118188.71</v>
      </c>
      <c r="T402" s="545">
        <v>43707</v>
      </c>
      <c r="U402" s="998">
        <v>43710</v>
      </c>
      <c r="V402" s="999">
        <v>43731</v>
      </c>
      <c r="W402" s="1000">
        <v>43705</v>
      </c>
      <c r="X402" s="178" t="s">
        <v>1301</v>
      </c>
      <c r="Y402" s="170" t="s">
        <v>3050</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93"/>
      <c r="I403" s="331">
        <v>43777</v>
      </c>
      <c r="J403" s="331"/>
      <c r="K403" s="169">
        <v>2019</v>
      </c>
      <c r="L403" s="1450">
        <v>196.2</v>
      </c>
      <c r="M403" s="1450"/>
      <c r="N403" s="170" t="s">
        <v>76</v>
      </c>
      <c r="O403" s="178" t="s">
        <v>1329</v>
      </c>
      <c r="P403" s="172" t="s">
        <v>78</v>
      </c>
      <c r="Q403" s="173" t="s">
        <v>1330</v>
      </c>
      <c r="R403" s="173" t="s">
        <v>4412</v>
      </c>
      <c r="S403" s="586">
        <v>104942</v>
      </c>
      <c r="T403" s="582">
        <v>43740</v>
      </c>
      <c r="U403" s="176">
        <v>43741</v>
      </c>
      <c r="V403" s="177">
        <v>43768</v>
      </c>
      <c r="W403" s="105">
        <v>43739</v>
      </c>
      <c r="X403" s="178" t="s">
        <v>1301</v>
      </c>
      <c r="Y403" s="170" t="s">
        <v>3050</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93"/>
      <c r="I404" s="331">
        <v>43777</v>
      </c>
      <c r="J404" s="331"/>
      <c r="K404" s="169">
        <v>2019</v>
      </c>
      <c r="L404" s="1450">
        <v>196.21</v>
      </c>
      <c r="M404" s="1450"/>
      <c r="N404" s="170" t="s">
        <v>76</v>
      </c>
      <c r="O404" s="178" t="s">
        <v>1332</v>
      </c>
      <c r="P404" s="172" t="s">
        <v>78</v>
      </c>
      <c r="Q404" s="173" t="s">
        <v>1333</v>
      </c>
      <c r="R404" s="173" t="s">
        <v>4412</v>
      </c>
      <c r="S404" s="586">
        <v>124713.47</v>
      </c>
      <c r="T404" s="582">
        <v>43740</v>
      </c>
      <c r="U404" s="176">
        <v>43741</v>
      </c>
      <c r="V404" s="177">
        <v>43768</v>
      </c>
      <c r="W404" s="105">
        <v>43739</v>
      </c>
      <c r="X404" s="178" t="s">
        <v>1301</v>
      </c>
      <c r="Y404" s="170" t="s">
        <v>3050</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54"/>
      <c r="BG405" s="1093"/>
      <c r="BH405" s="1093"/>
      <c r="BI405" s="1093"/>
      <c r="BJ405" s="1103">
        <f t="shared" ref="BJ405:BJ419" si="12">AT405+AU405</f>
        <v>0</v>
      </c>
      <c r="BK405" s="1104"/>
      <c r="BL405" s="1905"/>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93"/>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93"/>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93"/>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3050</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2869</v>
      </c>
    </row>
    <row r="409" spans="2:84" ht="92.25" hidden="1" customHeight="1">
      <c r="B409" s="22"/>
      <c r="C409" s="22"/>
      <c r="D409" s="22"/>
      <c r="E409" s="921">
        <v>44075</v>
      </c>
      <c r="F409" s="921"/>
      <c r="G409" s="925">
        <v>44008</v>
      </c>
      <c r="H409" s="1793"/>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3050</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2869</v>
      </c>
    </row>
    <row r="410" spans="2:84" ht="92.25" hidden="1" customHeight="1">
      <c r="B410" s="22"/>
      <c r="C410" s="22"/>
      <c r="D410" s="22"/>
      <c r="E410" s="921">
        <v>44075</v>
      </c>
      <c r="F410" s="921"/>
      <c r="G410" s="925">
        <v>44014</v>
      </c>
      <c r="H410" s="1793"/>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3050</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2869</v>
      </c>
    </row>
    <row r="411" spans="2:84" ht="92.25" hidden="1" customHeight="1">
      <c r="B411" s="22"/>
      <c r="C411" s="22"/>
      <c r="D411" s="22"/>
      <c r="E411" s="921">
        <v>44075</v>
      </c>
      <c r="F411" s="921"/>
      <c r="G411" s="925">
        <v>44011</v>
      </c>
      <c r="H411" s="1793"/>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93"/>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61"/>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93"/>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61"/>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93"/>
      <c r="I414" s="331"/>
      <c r="J414" s="331"/>
      <c r="K414" s="169">
        <v>2019</v>
      </c>
      <c r="L414" s="1450">
        <v>196.31</v>
      </c>
      <c r="M414" s="1450"/>
      <c r="N414" s="170" t="s">
        <v>76</v>
      </c>
      <c r="O414" s="178" t="s">
        <v>1383</v>
      </c>
      <c r="P414" s="172" t="s">
        <v>78</v>
      </c>
      <c r="Q414" s="173" t="s">
        <v>1384</v>
      </c>
      <c r="R414" s="173" t="s">
        <v>2541</v>
      </c>
      <c r="S414" s="586">
        <v>311860.06</v>
      </c>
      <c r="T414" s="582">
        <v>43754</v>
      </c>
      <c r="U414" s="176">
        <v>43759</v>
      </c>
      <c r="V414" s="177">
        <v>43790</v>
      </c>
      <c r="W414" s="105">
        <v>43753</v>
      </c>
      <c r="X414" s="178" t="s">
        <v>1224</v>
      </c>
      <c r="Y414" s="170" t="s">
        <v>3050</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54"/>
      <c r="BG415" s="1093"/>
      <c r="BH415" s="1093"/>
      <c r="BI415" s="1093"/>
      <c r="BJ415" s="1103">
        <f t="shared" si="12"/>
        <v>0</v>
      </c>
      <c r="BK415" s="1104"/>
      <c r="BL415" s="1905"/>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54"/>
      <c r="BG416" s="1093"/>
      <c r="BH416" s="1093"/>
      <c r="BI416" s="1093"/>
      <c r="BJ416" s="1103">
        <f t="shared" si="12"/>
        <v>0</v>
      </c>
      <c r="BK416" s="1104"/>
      <c r="BL416" s="1905"/>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93"/>
      <c r="I417" s="331">
        <v>43830</v>
      </c>
      <c r="J417" s="331"/>
      <c r="K417" s="169">
        <v>2019</v>
      </c>
      <c r="L417" s="1450">
        <v>196.34</v>
      </c>
      <c r="M417" s="1450"/>
      <c r="N417" s="170" t="s">
        <v>76</v>
      </c>
      <c r="O417" s="178" t="s">
        <v>1388</v>
      </c>
      <c r="P417" s="172" t="s">
        <v>78</v>
      </c>
      <c r="Q417" s="173" t="s">
        <v>1389</v>
      </c>
      <c r="R417" s="173" t="s">
        <v>4412</v>
      </c>
      <c r="S417" s="586">
        <v>82700.09</v>
      </c>
      <c r="T417" s="582">
        <v>43754</v>
      </c>
      <c r="U417" s="176">
        <v>43755</v>
      </c>
      <c r="V417" s="177">
        <v>43767</v>
      </c>
      <c r="W417" s="105">
        <v>43753</v>
      </c>
      <c r="X417" s="178" t="s">
        <v>1301</v>
      </c>
      <c r="Y417" s="170" t="s">
        <v>3050</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93"/>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3050</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61"/>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93"/>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3050</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61"/>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3973</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54"/>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93"/>
      <c r="I421" s="331">
        <v>43921</v>
      </c>
      <c r="J421" s="331"/>
      <c r="K421" s="169">
        <v>2019</v>
      </c>
      <c r="L421" s="1450">
        <v>196.38</v>
      </c>
      <c r="M421" s="1450"/>
      <c r="N421" s="170" t="s">
        <v>1147</v>
      </c>
      <c r="O421" s="178" t="s">
        <v>1222</v>
      </c>
      <c r="P421" s="172" t="s">
        <v>78</v>
      </c>
      <c r="Q421" s="173" t="s">
        <v>1223</v>
      </c>
      <c r="R421" s="173" t="s">
        <v>2580</v>
      </c>
      <c r="S421" s="174">
        <v>875313.77</v>
      </c>
      <c r="T421" s="545">
        <v>43783</v>
      </c>
      <c r="U421" s="176">
        <v>43784</v>
      </c>
      <c r="V421" s="177">
        <v>43829</v>
      </c>
      <c r="W421" s="105">
        <v>43782</v>
      </c>
      <c r="X421" s="178" t="s">
        <v>1224</v>
      </c>
      <c r="Y421" s="170" t="s">
        <v>3050</v>
      </c>
      <c r="Z421" s="1197" t="s">
        <v>67</v>
      </c>
      <c r="AA421" s="1411"/>
      <c r="AB421" s="33" t="s">
        <v>3589</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93"/>
      <c r="I422" s="331">
        <v>43985</v>
      </c>
      <c r="J422" s="331"/>
      <c r="K422" s="169">
        <v>2020</v>
      </c>
      <c r="L422" s="1446">
        <v>200.3</v>
      </c>
      <c r="M422" s="1446"/>
      <c r="N422" s="170" t="s">
        <v>2839</v>
      </c>
      <c r="O422" s="178" t="s">
        <v>2840</v>
      </c>
      <c r="P422" s="172" t="s">
        <v>466</v>
      </c>
      <c r="Q422" s="173" t="s">
        <v>2841</v>
      </c>
      <c r="R422" s="173" t="s">
        <v>2578</v>
      </c>
      <c r="S422" s="174">
        <v>962427.31</v>
      </c>
      <c r="T422" s="176">
        <v>43943</v>
      </c>
      <c r="U422" s="176" t="s">
        <v>67</v>
      </c>
      <c r="V422" s="177" t="s">
        <v>67</v>
      </c>
      <c r="W422" s="105" t="s">
        <v>67</v>
      </c>
      <c r="X422" s="178" t="s">
        <v>1176</v>
      </c>
      <c r="Y422" s="170" t="s">
        <v>1176</v>
      </c>
      <c r="Z422" s="201" t="s">
        <v>67</v>
      </c>
      <c r="AA422" s="369"/>
      <c r="AB422" s="33" t="s">
        <v>3004</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93"/>
      <c r="I423" s="331">
        <v>44196</v>
      </c>
      <c r="J423" s="331"/>
      <c r="K423" s="169">
        <v>2020</v>
      </c>
      <c r="L423" s="1446">
        <v>200.4</v>
      </c>
      <c r="M423" s="1446"/>
      <c r="N423" s="170" t="s">
        <v>3303</v>
      </c>
      <c r="O423" s="178" t="s">
        <v>3324</v>
      </c>
      <c r="P423" s="172" t="s">
        <v>466</v>
      </c>
      <c r="Q423" s="173" t="s">
        <v>3325</v>
      </c>
      <c r="R423" s="173" t="s">
        <v>1975</v>
      </c>
      <c r="S423" s="174">
        <v>1600000</v>
      </c>
      <c r="T423" s="176">
        <v>44162</v>
      </c>
      <c r="U423" s="176" t="s">
        <v>67</v>
      </c>
      <c r="V423" s="177" t="s">
        <v>67</v>
      </c>
      <c r="W423" s="105" t="s">
        <v>67</v>
      </c>
      <c r="X423" s="178" t="s">
        <v>1176</v>
      </c>
      <c r="Y423" s="170" t="s">
        <v>1176</v>
      </c>
      <c r="Z423" s="201" t="s">
        <v>67</v>
      </c>
      <c r="AA423" s="369"/>
      <c r="AB423" s="33" t="s">
        <v>3326</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93"/>
      <c r="I424" s="331">
        <v>44196</v>
      </c>
      <c r="J424" s="331"/>
      <c r="K424" s="169">
        <v>2020</v>
      </c>
      <c r="L424" s="1446">
        <v>200.6</v>
      </c>
      <c r="M424" s="1446"/>
      <c r="N424" s="170" t="s">
        <v>866</v>
      </c>
      <c r="O424" s="178" t="s">
        <v>3217</v>
      </c>
      <c r="P424" s="172" t="s">
        <v>466</v>
      </c>
      <c r="Q424" s="173" t="s">
        <v>3319</v>
      </c>
      <c r="R424" s="173" t="s">
        <v>1975</v>
      </c>
      <c r="S424" s="174">
        <v>20000000</v>
      </c>
      <c r="T424" s="176">
        <v>44054</v>
      </c>
      <c r="U424" s="176" t="s">
        <v>67</v>
      </c>
      <c r="V424" s="177" t="s">
        <v>67</v>
      </c>
      <c r="W424" s="105" t="s">
        <v>67</v>
      </c>
      <c r="X424" s="178" t="s">
        <v>1176</v>
      </c>
      <c r="Y424" s="170" t="s">
        <v>1176</v>
      </c>
      <c r="Z424" s="201" t="s">
        <v>67</v>
      </c>
      <c r="AA424" s="369"/>
      <c r="AB424" s="33" t="s">
        <v>3320</v>
      </c>
      <c r="AC424" s="8">
        <v>43972</v>
      </c>
      <c r="AD424" s="4">
        <v>11636000</v>
      </c>
      <c r="AE424" s="1216" t="s">
        <v>3297</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93"/>
      <c r="I425" s="331">
        <v>44211</v>
      </c>
      <c r="J425" s="331"/>
      <c r="K425" s="169">
        <v>2020</v>
      </c>
      <c r="L425" s="1446">
        <v>200.7</v>
      </c>
      <c r="M425" s="1446"/>
      <c r="N425" s="170" t="s">
        <v>3354</v>
      </c>
      <c r="O425" s="178" t="s">
        <v>3355</v>
      </c>
      <c r="P425" s="172" t="s">
        <v>466</v>
      </c>
      <c r="Q425" s="173" t="s">
        <v>3356</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93"/>
      <c r="I426" s="331">
        <v>44196</v>
      </c>
      <c r="J426" s="331"/>
      <c r="K426" s="169">
        <v>2020</v>
      </c>
      <c r="L426" s="1446">
        <v>200.8</v>
      </c>
      <c r="M426" s="1446"/>
      <c r="N426" s="1218" t="s">
        <v>3239</v>
      </c>
      <c r="O426" s="178" t="s">
        <v>3321</v>
      </c>
      <c r="P426" s="172" t="s">
        <v>466</v>
      </c>
      <c r="Q426" s="173" t="s">
        <v>3322</v>
      </c>
      <c r="R426" s="173" t="s">
        <v>2578</v>
      </c>
      <c r="S426" s="174">
        <v>7000000</v>
      </c>
      <c r="T426" s="176">
        <v>44085</v>
      </c>
      <c r="U426" s="176" t="s">
        <v>67</v>
      </c>
      <c r="V426" s="177" t="s">
        <v>67</v>
      </c>
      <c r="W426" s="105" t="s">
        <v>67</v>
      </c>
      <c r="X426" s="178" t="s">
        <v>1176</v>
      </c>
      <c r="Y426" s="170" t="s">
        <v>1176</v>
      </c>
      <c r="Z426" s="201" t="s">
        <v>67</v>
      </c>
      <c r="AA426" s="369"/>
      <c r="AB426" s="33" t="s">
        <v>3323</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93"/>
      <c r="I427" s="331">
        <v>44331</v>
      </c>
      <c r="J427" s="331"/>
      <c r="K427" s="169">
        <v>2020</v>
      </c>
      <c r="L427" s="1446">
        <v>201.01</v>
      </c>
      <c r="M427" s="1446"/>
      <c r="N427" s="170" t="s">
        <v>165</v>
      </c>
      <c r="O427" s="178" t="s">
        <v>2727</v>
      </c>
      <c r="P427" s="2" t="s">
        <v>4035</v>
      </c>
      <c r="Q427" s="173" t="s">
        <v>2843</v>
      </c>
      <c r="R427" s="173" t="s">
        <v>4413</v>
      </c>
      <c r="S427" s="174">
        <v>149601.96</v>
      </c>
      <c r="T427" s="176">
        <v>43924</v>
      </c>
      <c r="U427" s="176">
        <v>43893</v>
      </c>
      <c r="V427" s="177">
        <v>43982</v>
      </c>
      <c r="W427" s="105" t="s">
        <v>67</v>
      </c>
      <c r="X427" s="178" t="s">
        <v>1176</v>
      </c>
      <c r="Y427" s="170" t="s">
        <v>708</v>
      </c>
      <c r="Z427" s="201" t="s">
        <v>1427</v>
      </c>
      <c r="AA427" s="369" t="s">
        <v>1176</v>
      </c>
      <c r="AB427" s="242" t="s">
        <v>2844</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3733</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93"/>
      <c r="I428" s="331">
        <v>44331</v>
      </c>
      <c r="J428" s="331"/>
      <c r="K428" s="169">
        <v>2020</v>
      </c>
      <c r="L428" s="1446">
        <v>201.02</v>
      </c>
      <c r="M428" s="1446"/>
      <c r="N428" s="170" t="s">
        <v>165</v>
      </c>
      <c r="O428" s="178" t="s">
        <v>2728</v>
      </c>
      <c r="P428" s="2" t="s">
        <v>4035</v>
      </c>
      <c r="Q428" s="173" t="s">
        <v>2973</v>
      </c>
      <c r="R428" s="173" t="s">
        <v>4412</v>
      </c>
      <c r="S428" s="174">
        <v>655000</v>
      </c>
      <c r="T428" s="176">
        <v>43924</v>
      </c>
      <c r="U428" s="176">
        <v>43924</v>
      </c>
      <c r="V428" s="177">
        <v>44043</v>
      </c>
      <c r="W428" s="105" t="s">
        <v>67</v>
      </c>
      <c r="X428" s="178" t="s">
        <v>1176</v>
      </c>
      <c r="Y428" s="1469" t="s">
        <v>3012</v>
      </c>
      <c r="Z428" s="201" t="s">
        <v>1427</v>
      </c>
      <c r="AA428" s="369" t="s">
        <v>1176</v>
      </c>
      <c r="AB428" s="256" t="s">
        <v>3003</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3733</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93"/>
      <c r="I429" s="331">
        <v>44176</v>
      </c>
      <c r="J429" s="331"/>
      <c r="K429" s="169">
        <v>2020</v>
      </c>
      <c r="L429" s="1446">
        <v>201.03</v>
      </c>
      <c r="M429" s="1446"/>
      <c r="N429" s="170" t="s">
        <v>2839</v>
      </c>
      <c r="O429" s="178" t="s">
        <v>2729</v>
      </c>
      <c r="P429" s="2" t="s">
        <v>4035</v>
      </c>
      <c r="Q429" s="173" t="s">
        <v>2862</v>
      </c>
      <c r="R429" s="173" t="s">
        <v>2617</v>
      </c>
      <c r="S429" s="174">
        <v>962427.31</v>
      </c>
      <c r="T429" s="176">
        <v>43945</v>
      </c>
      <c r="U429" s="176">
        <v>43945</v>
      </c>
      <c r="V429" s="177">
        <v>44098</v>
      </c>
      <c r="W429" s="105" t="s">
        <v>67</v>
      </c>
      <c r="X429" s="178" t="s">
        <v>1176</v>
      </c>
      <c r="Y429" s="1067" t="s">
        <v>212</v>
      </c>
      <c r="Z429" s="201" t="s">
        <v>1427</v>
      </c>
      <c r="AA429" s="1412"/>
      <c r="AB429" s="33" t="s">
        <v>3004</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3733</v>
      </c>
      <c r="BZ429" s="1332"/>
      <c r="CA429" s="13"/>
      <c r="CB429" s="13"/>
      <c r="CC429" s="13"/>
      <c r="CD429" s="13"/>
      <c r="CE429" s="1246" t="s">
        <v>2094</v>
      </c>
      <c r="CF429" s="38"/>
    </row>
    <row r="430" spans="1:84" ht="104.25" hidden="1" customHeight="1">
      <c r="A430" s="1467"/>
      <c r="B430" s="22"/>
      <c r="C430" s="22"/>
      <c r="D430" s="22"/>
      <c r="E430" s="921"/>
      <c r="F430" s="921"/>
      <c r="G430" s="925">
        <v>44440</v>
      </c>
      <c r="H430" s="1793"/>
      <c r="I430" s="331">
        <v>44446</v>
      </c>
      <c r="J430" s="331"/>
      <c r="K430" s="169">
        <v>2020</v>
      </c>
      <c r="L430" s="1446">
        <v>201.04</v>
      </c>
      <c r="M430" s="1446"/>
      <c r="N430" s="170" t="s">
        <v>165</v>
      </c>
      <c r="O430" s="178" t="s">
        <v>2730</v>
      </c>
      <c r="P430" s="2" t="s">
        <v>4035</v>
      </c>
      <c r="Q430" s="173" t="s">
        <v>3870</v>
      </c>
      <c r="R430" s="173" t="s">
        <v>4412</v>
      </c>
      <c r="S430" s="586">
        <v>192779.35</v>
      </c>
      <c r="T430" s="176">
        <v>43910</v>
      </c>
      <c r="U430" s="176">
        <v>43913</v>
      </c>
      <c r="V430" s="177">
        <v>43960</v>
      </c>
      <c r="W430" s="105" t="s">
        <v>67</v>
      </c>
      <c r="X430" s="178" t="s">
        <v>1176</v>
      </c>
      <c r="Y430" s="1469" t="s">
        <v>3876</v>
      </c>
      <c r="Z430" s="201" t="s">
        <v>1427</v>
      </c>
      <c r="AA430" s="369" t="s">
        <v>3868</v>
      </c>
      <c r="AB430" s="33" t="s">
        <v>3871</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3733</v>
      </c>
      <c r="BZ430" s="1276"/>
      <c r="CA430" s="1276" t="s">
        <v>3733</v>
      </c>
      <c r="CB430" s="1276" t="s">
        <v>3733</v>
      </c>
      <c r="CC430" s="13"/>
      <c r="CD430" s="13"/>
      <c r="CE430" s="1246" t="s">
        <v>2094</v>
      </c>
      <c r="CF430" s="38"/>
    </row>
    <row r="431" spans="1:84" ht="72" hidden="1" customHeight="1">
      <c r="A431" s="1467"/>
      <c r="B431" s="22"/>
      <c r="C431" s="22"/>
      <c r="D431" s="22"/>
      <c r="E431" s="921"/>
      <c r="F431" s="921"/>
      <c r="G431" s="925">
        <v>44286</v>
      </c>
      <c r="H431" s="1793"/>
      <c r="I431" s="331">
        <v>44331</v>
      </c>
      <c r="J431" s="331"/>
      <c r="K431" s="169">
        <v>2020</v>
      </c>
      <c r="L431" s="1446">
        <v>201.05</v>
      </c>
      <c r="M431" s="1446"/>
      <c r="N431" s="170" t="s">
        <v>165</v>
      </c>
      <c r="O431" s="178" t="s">
        <v>2731</v>
      </c>
      <c r="P431" s="2" t="s">
        <v>4035</v>
      </c>
      <c r="Q431" s="173" t="s">
        <v>2923</v>
      </c>
      <c r="R431" s="173" t="s">
        <v>4412</v>
      </c>
      <c r="S431" s="174">
        <v>50000</v>
      </c>
      <c r="T431" s="176">
        <v>43924</v>
      </c>
      <c r="U431" s="176">
        <v>43924</v>
      </c>
      <c r="V431" s="177">
        <v>43961</v>
      </c>
      <c r="W431" s="105" t="s">
        <v>67</v>
      </c>
      <c r="X431" s="178" t="s">
        <v>1176</v>
      </c>
      <c r="Y431" s="1469" t="s">
        <v>3012</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3733</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93"/>
      <c r="I432" s="331">
        <v>44295</v>
      </c>
      <c r="J432" s="331"/>
      <c r="K432" s="169">
        <v>2020</v>
      </c>
      <c r="L432" s="1446">
        <v>201.06</v>
      </c>
      <c r="M432" s="1446"/>
      <c r="N432" s="170" t="s">
        <v>76</v>
      </c>
      <c r="O432" s="178" t="s">
        <v>2732</v>
      </c>
      <c r="P432" s="2" t="s">
        <v>4035</v>
      </c>
      <c r="Q432" s="173" t="s">
        <v>3252</v>
      </c>
      <c r="R432" s="173" t="s">
        <v>1975</v>
      </c>
      <c r="S432" s="174">
        <v>42478.36</v>
      </c>
      <c r="T432" s="176">
        <v>44103</v>
      </c>
      <c r="U432" s="176">
        <v>44106</v>
      </c>
      <c r="V432" s="177">
        <v>44120</v>
      </c>
      <c r="W432" s="105" t="s">
        <v>67</v>
      </c>
      <c r="X432" s="178" t="s">
        <v>1176</v>
      </c>
      <c r="Y432" s="170" t="s">
        <v>448</v>
      </c>
      <c r="Z432" s="462" t="s">
        <v>73</v>
      </c>
      <c r="AA432" s="1400"/>
      <c r="AB432" s="115" t="s">
        <v>3253</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3570</v>
      </c>
      <c r="BZ432" s="1279"/>
      <c r="CA432" s="13"/>
      <c r="CB432" s="13"/>
      <c r="CC432" s="13"/>
      <c r="CD432" s="13"/>
      <c r="CE432" s="1246" t="s">
        <v>2094</v>
      </c>
      <c r="CF432" s="38" t="s">
        <v>3563</v>
      </c>
    </row>
    <row r="433" spans="1:84" ht="91.5" hidden="1" customHeight="1">
      <c r="A433" s="1467"/>
      <c r="B433" s="22"/>
      <c r="C433" s="22"/>
      <c r="D433" s="22"/>
      <c r="E433" s="921"/>
      <c r="F433" s="921"/>
      <c r="G433" s="925"/>
      <c r="H433" s="1793"/>
      <c r="I433" s="331">
        <v>44401</v>
      </c>
      <c r="J433" s="331"/>
      <c r="K433" s="169">
        <v>2020</v>
      </c>
      <c r="L433" s="1446">
        <v>201.07</v>
      </c>
      <c r="M433" s="1446"/>
      <c r="N433" s="170" t="s">
        <v>3239</v>
      </c>
      <c r="O433" s="178" t="s">
        <v>2733</v>
      </c>
      <c r="P433" s="2" t="s">
        <v>4035</v>
      </c>
      <c r="Q433" s="173" t="s">
        <v>3254</v>
      </c>
      <c r="R433" s="173" t="s">
        <v>2617</v>
      </c>
      <c r="S433" s="174">
        <v>196881.44</v>
      </c>
      <c r="T433" s="176">
        <v>44089</v>
      </c>
      <c r="U433" s="176">
        <v>44144</v>
      </c>
      <c r="V433" s="177">
        <v>44191</v>
      </c>
      <c r="W433" s="105" t="s">
        <v>67</v>
      </c>
      <c r="X433" s="178" t="s">
        <v>1176</v>
      </c>
      <c r="Y433" s="170" t="s">
        <v>448</v>
      </c>
      <c r="Z433" s="462" t="s">
        <v>73</v>
      </c>
      <c r="AA433" s="1400"/>
      <c r="AB433" s="256" t="s">
        <v>3240</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3733</v>
      </c>
      <c r="BZ433" s="1280"/>
      <c r="CA433" s="13"/>
      <c r="CB433" s="13"/>
      <c r="CC433" s="13"/>
      <c r="CD433" s="13"/>
      <c r="CE433" s="1246" t="s">
        <v>2094</v>
      </c>
      <c r="CF433" s="38"/>
    </row>
    <row r="434" spans="1:84" ht="87" hidden="1" customHeight="1">
      <c r="A434" s="1467"/>
      <c r="B434" s="22"/>
      <c r="C434" s="22"/>
      <c r="D434" s="22"/>
      <c r="E434" s="921"/>
      <c r="F434" s="921"/>
      <c r="G434" s="925"/>
      <c r="H434" s="1793"/>
      <c r="I434" s="331"/>
      <c r="J434" s="331"/>
      <c r="K434" s="169">
        <v>2020</v>
      </c>
      <c r="L434" s="1446">
        <v>201.071</v>
      </c>
      <c r="M434" s="1446"/>
      <c r="N434" s="170" t="s">
        <v>3917</v>
      </c>
      <c r="O434" s="178" t="s">
        <v>3907</v>
      </c>
      <c r="P434" s="2" t="s">
        <v>4035</v>
      </c>
      <c r="Q434" s="452" t="s">
        <v>3946</v>
      </c>
      <c r="R434" s="452" t="s">
        <v>2617</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93"/>
      <c r="I435" s="331">
        <v>44251</v>
      </c>
      <c r="J435" s="331"/>
      <c r="K435" s="169">
        <v>2020</v>
      </c>
      <c r="L435" s="1446">
        <v>201.08</v>
      </c>
      <c r="M435" s="1446"/>
      <c r="N435" s="170" t="s">
        <v>3239</v>
      </c>
      <c r="O435" s="178" t="s">
        <v>2734</v>
      </c>
      <c r="P435" s="2" t="s">
        <v>4035</v>
      </c>
      <c r="Q435" s="173" t="s">
        <v>3255</v>
      </c>
      <c r="R435" s="173" t="s">
        <v>4413</v>
      </c>
      <c r="S435" s="174">
        <v>1079624.5</v>
      </c>
      <c r="T435" s="176">
        <v>44454</v>
      </c>
      <c r="U435" s="176">
        <v>44166</v>
      </c>
      <c r="V435" s="177">
        <v>44196</v>
      </c>
      <c r="W435" s="105" t="s">
        <v>67</v>
      </c>
      <c r="X435" s="178" t="s">
        <v>1176</v>
      </c>
      <c r="Y435" s="170" t="s">
        <v>448</v>
      </c>
      <c r="Z435" s="462" t="s">
        <v>73</v>
      </c>
      <c r="AA435" s="1400"/>
      <c r="AB435" s="609" t="s">
        <v>3240</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3733</v>
      </c>
      <c r="BZ435" s="1280"/>
      <c r="CA435" s="13"/>
      <c r="CB435" s="13"/>
      <c r="CC435" s="13"/>
      <c r="CD435" s="13"/>
      <c r="CE435" s="1246" t="s">
        <v>2094</v>
      </c>
      <c r="CF435" s="38"/>
    </row>
    <row r="436" spans="1:84" ht="66.75" hidden="1" customHeight="1">
      <c r="A436" s="1467"/>
      <c r="B436" s="22"/>
      <c r="C436" s="22"/>
      <c r="D436" s="22"/>
      <c r="E436" s="921"/>
      <c r="F436" s="921"/>
      <c r="G436" s="925"/>
      <c r="H436" s="1793"/>
      <c r="I436" s="331"/>
      <c r="J436" s="331"/>
      <c r="K436" s="169">
        <v>2020</v>
      </c>
      <c r="L436" s="1446">
        <v>201.08099999999999</v>
      </c>
      <c r="M436" s="1446"/>
      <c r="N436" s="170" t="s">
        <v>3917</v>
      </c>
      <c r="O436" s="178" t="s">
        <v>3908</v>
      </c>
      <c r="P436" s="2" t="s">
        <v>4035</v>
      </c>
      <c r="Q436" s="452" t="s">
        <v>3933</v>
      </c>
      <c r="R436" s="452" t="s">
        <v>4413</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93"/>
      <c r="I437" s="331">
        <v>44251</v>
      </c>
      <c r="J437" s="331"/>
      <c r="K437" s="169">
        <v>2020</v>
      </c>
      <c r="L437" s="1446">
        <v>201.09</v>
      </c>
      <c r="M437" s="1446"/>
      <c r="N437" s="170" t="s">
        <v>3239</v>
      </c>
      <c r="O437" s="178" t="s">
        <v>2735</v>
      </c>
      <c r="P437" s="2" t="s">
        <v>4035</v>
      </c>
      <c r="Q437" s="173" t="s">
        <v>3256</v>
      </c>
      <c r="R437" s="173" t="s">
        <v>2518</v>
      </c>
      <c r="S437" s="174">
        <v>193929.96</v>
      </c>
      <c r="T437" s="176">
        <v>44089</v>
      </c>
      <c r="U437" s="176">
        <v>44140</v>
      </c>
      <c r="V437" s="177">
        <v>44191</v>
      </c>
      <c r="W437" s="105" t="s">
        <v>67</v>
      </c>
      <c r="X437" s="178" t="s">
        <v>1176</v>
      </c>
      <c r="Y437" s="170" t="s">
        <v>448</v>
      </c>
      <c r="Z437" s="462" t="s">
        <v>73</v>
      </c>
      <c r="AA437" s="1400"/>
      <c r="AB437" s="256" t="s">
        <v>3240</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3733</v>
      </c>
      <c r="BZ437" s="1280"/>
      <c r="CA437" s="13"/>
      <c r="CB437" s="13"/>
      <c r="CC437" s="13"/>
      <c r="CD437" s="13"/>
      <c r="CE437" s="1246" t="s">
        <v>2094</v>
      </c>
      <c r="CF437" s="38"/>
    </row>
    <row r="438" spans="1:84" ht="114.75" hidden="1" customHeight="1">
      <c r="A438" s="1467"/>
      <c r="B438" s="22"/>
      <c r="C438" s="22"/>
      <c r="D438" s="22"/>
      <c r="E438" s="921"/>
      <c r="F438" s="921"/>
      <c r="G438" s="925"/>
      <c r="H438" s="1793"/>
      <c r="I438" s="331">
        <v>44331</v>
      </c>
      <c r="J438" s="331"/>
      <c r="K438" s="169">
        <v>2020</v>
      </c>
      <c r="L438" s="1446">
        <v>201.09100000000001</v>
      </c>
      <c r="M438" s="1446"/>
      <c r="N438" s="170" t="s">
        <v>3239</v>
      </c>
      <c r="O438" s="178" t="s">
        <v>2735</v>
      </c>
      <c r="P438" s="2" t="s">
        <v>4035</v>
      </c>
      <c r="Q438" s="173" t="s">
        <v>3257</v>
      </c>
      <c r="R438" s="173" t="s">
        <v>2518</v>
      </c>
      <c r="S438" s="174">
        <v>331496.03999999998</v>
      </c>
      <c r="T438" s="176">
        <v>44089</v>
      </c>
      <c r="U438" s="176">
        <v>44140</v>
      </c>
      <c r="V438" s="177">
        <v>44191</v>
      </c>
      <c r="W438" s="105" t="s">
        <v>67</v>
      </c>
      <c r="X438" s="178" t="s">
        <v>1176</v>
      </c>
      <c r="Y438" s="170" t="s">
        <v>448</v>
      </c>
      <c r="Z438" s="462" t="s">
        <v>73</v>
      </c>
      <c r="AA438" s="1400"/>
      <c r="AB438" s="256" t="s">
        <v>3240</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3733</v>
      </c>
      <c r="BZ438" s="1280"/>
      <c r="CA438" s="13"/>
      <c r="CB438" s="13"/>
      <c r="CC438" s="13"/>
      <c r="CD438" s="13"/>
      <c r="CE438" s="1246" t="s">
        <v>2094</v>
      </c>
      <c r="CF438" s="38"/>
    </row>
    <row r="439" spans="1:84" ht="79.5" hidden="1" customHeight="1">
      <c r="A439" s="1467"/>
      <c r="B439" s="22"/>
      <c r="C439" s="22"/>
      <c r="D439" s="22"/>
      <c r="E439" s="921"/>
      <c r="F439" s="921"/>
      <c r="G439" s="925"/>
      <c r="H439" s="1793"/>
      <c r="I439" s="331"/>
      <c r="J439" s="331"/>
      <c r="K439" s="169">
        <v>2020</v>
      </c>
      <c r="L439" s="1446">
        <v>201.09200000000001</v>
      </c>
      <c r="M439" s="1446"/>
      <c r="N439" s="170" t="s">
        <v>3917</v>
      </c>
      <c r="O439" s="178" t="s">
        <v>3909</v>
      </c>
      <c r="P439" s="2" t="s">
        <v>4035</v>
      </c>
      <c r="Q439" s="452" t="s">
        <v>3928</v>
      </c>
      <c r="R439" s="452" t="s">
        <v>2518</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93"/>
      <c r="I440" s="331">
        <v>44251</v>
      </c>
      <c r="J440" s="331"/>
      <c r="K440" s="169">
        <v>2020</v>
      </c>
      <c r="L440" s="1446">
        <v>201.1</v>
      </c>
      <c r="M440" s="1446"/>
      <c r="N440" s="170" t="s">
        <v>3239</v>
      </c>
      <c r="O440" s="178" t="s">
        <v>2736</v>
      </c>
      <c r="P440" s="2" t="s">
        <v>4035</v>
      </c>
      <c r="Q440" s="173" t="s">
        <v>3258</v>
      </c>
      <c r="R440" s="173" t="s">
        <v>4826</v>
      </c>
      <c r="S440" s="174">
        <v>410787.6</v>
      </c>
      <c r="T440" s="176">
        <v>44089</v>
      </c>
      <c r="U440" s="176">
        <v>44166</v>
      </c>
      <c r="V440" s="177">
        <v>44196</v>
      </c>
      <c r="W440" s="105" t="s">
        <v>67</v>
      </c>
      <c r="X440" s="178" t="s">
        <v>1176</v>
      </c>
      <c r="Y440" s="170" t="s">
        <v>448</v>
      </c>
      <c r="Z440" s="462" t="s">
        <v>73</v>
      </c>
      <c r="AA440" s="1400"/>
      <c r="AB440" s="256" t="s">
        <v>3240</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3733</v>
      </c>
      <c r="BZ440" s="1280"/>
      <c r="CA440" s="13"/>
      <c r="CB440" s="13"/>
      <c r="CC440" s="13"/>
      <c r="CD440" s="13"/>
      <c r="CE440" s="1246" t="s">
        <v>2094</v>
      </c>
      <c r="CF440" s="38"/>
    </row>
    <row r="441" spans="1:84" ht="105.75" hidden="1" customHeight="1">
      <c r="A441" s="1467"/>
      <c r="B441" s="22"/>
      <c r="C441" s="22"/>
      <c r="D441" s="22"/>
      <c r="E441" s="921"/>
      <c r="F441" s="921"/>
      <c r="G441" s="925"/>
      <c r="H441" s="1793"/>
      <c r="I441" s="331"/>
      <c r="J441" s="331"/>
      <c r="K441" s="169">
        <v>2020</v>
      </c>
      <c r="L441" s="1446">
        <v>201.101</v>
      </c>
      <c r="M441" s="1446"/>
      <c r="N441" s="170" t="s">
        <v>3917</v>
      </c>
      <c r="O441" s="178" t="s">
        <v>3910</v>
      </c>
      <c r="P441" s="2" t="s">
        <v>4035</v>
      </c>
      <c r="Q441" s="452" t="s">
        <v>3929</v>
      </c>
      <c r="R441" s="173" t="s">
        <v>4826</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93"/>
      <c r="I442" s="331">
        <v>44251</v>
      </c>
      <c r="J442" s="331"/>
      <c r="K442" s="169">
        <v>2020</v>
      </c>
      <c r="L442" s="1446">
        <v>201.11</v>
      </c>
      <c r="M442" s="1446"/>
      <c r="N442" s="170" t="s">
        <v>3239</v>
      </c>
      <c r="O442" s="178" t="s">
        <v>3327</v>
      </c>
      <c r="P442" s="2" t="s">
        <v>4035</v>
      </c>
      <c r="Q442" s="173" t="s">
        <v>3328</v>
      </c>
      <c r="R442" s="173" t="s">
        <v>4509</v>
      </c>
      <c r="S442" s="174">
        <v>781012.26</v>
      </c>
      <c r="T442" s="176">
        <v>44089</v>
      </c>
      <c r="U442" s="176">
        <v>44150</v>
      </c>
      <c r="V442" s="177">
        <v>44181</v>
      </c>
      <c r="W442" s="105"/>
      <c r="X442" s="178" t="s">
        <v>1176</v>
      </c>
      <c r="Y442" s="170" t="s">
        <v>448</v>
      </c>
      <c r="Z442" s="462" t="s">
        <v>73</v>
      </c>
      <c r="AA442" s="1400"/>
      <c r="AB442" s="256" t="s">
        <v>3240</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3733</v>
      </c>
      <c r="BZ442" s="1280"/>
      <c r="CA442" s="13"/>
      <c r="CB442" s="13"/>
      <c r="CC442" s="13"/>
      <c r="CD442" s="13"/>
      <c r="CE442" s="1246" t="s">
        <v>2094</v>
      </c>
      <c r="CF442" s="38"/>
    </row>
    <row r="443" spans="1:84" ht="60" hidden="1" customHeight="1">
      <c r="A443" s="1467"/>
      <c r="B443" s="22"/>
      <c r="C443" s="22"/>
      <c r="D443" s="22"/>
      <c r="E443" s="921"/>
      <c r="F443" s="921"/>
      <c r="G443" s="925"/>
      <c r="H443" s="1793"/>
      <c r="I443" s="331"/>
      <c r="J443" s="331"/>
      <c r="K443" s="169">
        <v>2020</v>
      </c>
      <c r="L443" s="1446">
        <v>201.11099999999999</v>
      </c>
      <c r="M443" s="1446"/>
      <c r="N443" s="170" t="s">
        <v>3917</v>
      </c>
      <c r="O443" s="178" t="s">
        <v>3911</v>
      </c>
      <c r="P443" s="2" t="s">
        <v>4035</v>
      </c>
      <c r="Q443" s="452" t="s">
        <v>3930</v>
      </c>
      <c r="R443" s="452" t="s">
        <v>4509</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93"/>
      <c r="I444" s="331">
        <v>44251</v>
      </c>
      <c r="J444" s="331"/>
      <c r="K444" s="169">
        <v>2020</v>
      </c>
      <c r="L444" s="1446">
        <v>201.12</v>
      </c>
      <c r="M444" s="1446"/>
      <c r="N444" s="170" t="s">
        <v>3239</v>
      </c>
      <c r="O444" s="178" t="s">
        <v>3241</v>
      </c>
      <c r="P444" s="2" t="s">
        <v>4035</v>
      </c>
      <c r="Q444" s="173" t="s">
        <v>3242</v>
      </c>
      <c r="R444" s="173" t="s">
        <v>2616</v>
      </c>
      <c r="S444" s="174">
        <v>448092.36</v>
      </c>
      <c r="T444" s="176">
        <v>44089</v>
      </c>
      <c r="U444" s="176">
        <v>44166</v>
      </c>
      <c r="V444" s="177">
        <v>44196</v>
      </c>
      <c r="W444" s="105" t="s">
        <v>67</v>
      </c>
      <c r="X444" s="178" t="s">
        <v>1176</v>
      </c>
      <c r="Y444" s="170" t="s">
        <v>448</v>
      </c>
      <c r="Z444" s="462" t="s">
        <v>73</v>
      </c>
      <c r="AA444" s="1400"/>
      <c r="AB444" s="256" t="s">
        <v>3240</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3733</v>
      </c>
      <c r="BZ444" s="1280"/>
      <c r="CA444" s="13"/>
      <c r="CB444" s="13"/>
      <c r="CC444" s="13"/>
      <c r="CD444" s="13"/>
      <c r="CE444" s="1246" t="s">
        <v>2094</v>
      </c>
      <c r="CF444" s="38"/>
    </row>
    <row r="445" spans="1:84" ht="125.25" hidden="1" customHeight="1">
      <c r="A445" s="1467"/>
      <c r="B445" s="22"/>
      <c r="C445" s="22"/>
      <c r="D445" s="22"/>
      <c r="E445" s="921"/>
      <c r="F445" s="921"/>
      <c r="G445" s="925"/>
      <c r="H445" s="1793"/>
      <c r="I445" s="331"/>
      <c r="J445" s="331"/>
      <c r="K445" s="169">
        <v>2020</v>
      </c>
      <c r="L445" s="1446">
        <v>201.12100000000001</v>
      </c>
      <c r="M445" s="1446"/>
      <c r="N445" s="170" t="s">
        <v>3917</v>
      </c>
      <c r="O445" s="178" t="s">
        <v>3912</v>
      </c>
      <c r="P445" s="2" t="s">
        <v>4035</v>
      </c>
      <c r="Q445" s="452" t="s">
        <v>3931</v>
      </c>
      <c r="R445" s="452" t="s">
        <v>2616</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93"/>
      <c r="I446" s="331">
        <v>44251</v>
      </c>
      <c r="J446" s="331"/>
      <c r="K446" s="169">
        <v>2020</v>
      </c>
      <c r="L446" s="1446">
        <v>201.13</v>
      </c>
      <c r="M446" s="1446"/>
      <c r="N446" s="170" t="s">
        <v>3239</v>
      </c>
      <c r="O446" s="178" t="s">
        <v>3243</v>
      </c>
      <c r="P446" s="2" t="s">
        <v>4035</v>
      </c>
      <c r="Q446" s="173" t="s">
        <v>3244</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3240</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3733</v>
      </c>
      <c r="BZ446" s="1280"/>
      <c r="CA446" s="13"/>
      <c r="CB446" s="13"/>
      <c r="CC446" s="13"/>
      <c r="CD446" s="13"/>
      <c r="CE446" s="1246" t="s">
        <v>2094</v>
      </c>
      <c r="CF446" s="38"/>
    </row>
    <row r="447" spans="1:84" ht="86.25" hidden="1" customHeight="1">
      <c r="A447" s="1467"/>
      <c r="B447" s="22"/>
      <c r="C447" s="22"/>
      <c r="D447" s="22"/>
      <c r="E447" s="921"/>
      <c r="F447" s="921"/>
      <c r="G447" s="925"/>
      <c r="H447" s="1793"/>
      <c r="I447" s="331"/>
      <c r="J447" s="331"/>
      <c r="K447" s="169">
        <v>2020</v>
      </c>
      <c r="L447" s="1446">
        <v>201.131</v>
      </c>
      <c r="M447" s="1446"/>
      <c r="N447" s="170" t="s">
        <v>3917</v>
      </c>
      <c r="O447" s="178" t="s">
        <v>3913</v>
      </c>
      <c r="P447" s="2" t="s">
        <v>4035</v>
      </c>
      <c r="Q447" s="452" t="s">
        <v>3932</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93"/>
      <c r="I448" s="331">
        <v>44251</v>
      </c>
      <c r="J448" s="331"/>
      <c r="K448" s="169">
        <v>2020</v>
      </c>
      <c r="L448" s="1446">
        <v>201.14</v>
      </c>
      <c r="M448" s="1446"/>
      <c r="N448" s="170" t="s">
        <v>3239</v>
      </c>
      <c r="O448" s="178" t="s">
        <v>3245</v>
      </c>
      <c r="P448" s="2" t="s">
        <v>4035</v>
      </c>
      <c r="Q448" s="173" t="s">
        <v>3246</v>
      </c>
      <c r="R448" s="173" t="s">
        <v>1975</v>
      </c>
      <c r="S448" s="174">
        <v>367959.98</v>
      </c>
      <c r="T448" s="176">
        <v>44089</v>
      </c>
      <c r="U448" s="176">
        <v>44172</v>
      </c>
      <c r="V448" s="177">
        <v>44196</v>
      </c>
      <c r="W448" s="105" t="s">
        <v>67</v>
      </c>
      <c r="X448" s="178" t="s">
        <v>1176</v>
      </c>
      <c r="Y448" s="170" t="s">
        <v>448</v>
      </c>
      <c r="Z448" s="462" t="s">
        <v>73</v>
      </c>
      <c r="AA448" s="1400"/>
      <c r="AB448" s="256" t="s">
        <v>3240</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3733</v>
      </c>
      <c r="BZ448" s="1280"/>
      <c r="CA448" s="13"/>
      <c r="CB448" s="13"/>
      <c r="CC448" s="13"/>
      <c r="CD448" s="13"/>
      <c r="CE448" s="1246" t="s">
        <v>2094</v>
      </c>
      <c r="CF448" s="38"/>
    </row>
    <row r="449" spans="1:84" ht="108" hidden="1" customHeight="1">
      <c r="A449" s="1467"/>
      <c r="B449" s="22"/>
      <c r="C449" s="1474">
        <v>44494</v>
      </c>
      <c r="D449" s="1474"/>
      <c r="E449" s="122"/>
      <c r="F449" s="122"/>
      <c r="G449" s="925"/>
      <c r="H449" s="1793"/>
      <c r="I449" s="331"/>
      <c r="J449" s="331"/>
      <c r="K449" s="169">
        <v>2020</v>
      </c>
      <c r="L449" s="1446">
        <v>201.14099999999999</v>
      </c>
      <c r="M449" s="1446"/>
      <c r="N449" s="170" t="s">
        <v>3917</v>
      </c>
      <c r="O449" s="178" t="s">
        <v>3914</v>
      </c>
      <c r="P449" s="2" t="s">
        <v>4035</v>
      </c>
      <c r="Q449" s="173" t="s">
        <v>3934</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93"/>
      <c r="I450" s="331">
        <v>44251</v>
      </c>
      <c r="J450" s="331"/>
      <c r="K450" s="169">
        <v>2020</v>
      </c>
      <c r="L450" s="1446">
        <v>201.15</v>
      </c>
      <c r="M450" s="1446"/>
      <c r="N450" s="170" t="s">
        <v>3239</v>
      </c>
      <c r="O450" s="178" t="s">
        <v>3247</v>
      </c>
      <c r="P450" s="2" t="s">
        <v>4035</v>
      </c>
      <c r="Q450" s="173" t="s">
        <v>3248</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3240</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3733</v>
      </c>
      <c r="BZ450" s="1280"/>
      <c r="CA450" s="13"/>
      <c r="CB450" s="13"/>
      <c r="CC450" s="13"/>
      <c r="CD450" s="13"/>
      <c r="CE450" s="1246" t="s">
        <v>2094</v>
      </c>
      <c r="CF450" s="38"/>
    </row>
    <row r="451" spans="1:84" ht="108.75" hidden="1" customHeight="1">
      <c r="A451" s="1467"/>
      <c r="B451" s="22"/>
      <c r="C451" s="122"/>
      <c r="D451" s="122"/>
      <c r="E451" s="122"/>
      <c r="F451" s="122"/>
      <c r="G451" s="925"/>
      <c r="H451" s="1793"/>
      <c r="I451" s="331">
        <v>44331</v>
      </c>
      <c r="J451" s="331"/>
      <c r="K451" s="169">
        <v>2020</v>
      </c>
      <c r="L451" s="1446">
        <v>201.15100000000001</v>
      </c>
      <c r="M451" s="1446"/>
      <c r="N451" s="170" t="s">
        <v>3239</v>
      </c>
      <c r="O451" s="178" t="s">
        <v>3247</v>
      </c>
      <c r="P451" s="2" t="s">
        <v>4035</v>
      </c>
      <c r="Q451" s="173" t="s">
        <v>3249</v>
      </c>
      <c r="R451" s="173" t="s">
        <v>1975</v>
      </c>
      <c r="S451" s="174">
        <v>196467.44</v>
      </c>
      <c r="T451" s="176">
        <v>44089</v>
      </c>
      <c r="U451" s="176">
        <v>44153</v>
      </c>
      <c r="V451" s="177">
        <v>44191</v>
      </c>
      <c r="W451" s="105" t="s">
        <v>67</v>
      </c>
      <c r="X451" s="178" t="s">
        <v>1176</v>
      </c>
      <c r="Y451" s="170" t="s">
        <v>448</v>
      </c>
      <c r="Z451" s="462" t="s">
        <v>73</v>
      </c>
      <c r="AA451" s="1400"/>
      <c r="AB451" s="256" t="s">
        <v>3240</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3733</v>
      </c>
      <c r="BZ451" s="1280"/>
      <c r="CA451" s="13"/>
      <c r="CB451" s="13"/>
      <c r="CC451" s="13"/>
      <c r="CD451" s="13"/>
      <c r="CE451" s="1246" t="s">
        <v>2094</v>
      </c>
      <c r="CF451" s="38"/>
    </row>
    <row r="452" spans="1:84" ht="78.75" hidden="1" customHeight="1">
      <c r="A452" s="1467"/>
      <c r="B452" s="22"/>
      <c r="C452" s="22"/>
      <c r="D452" s="22"/>
      <c r="E452" s="921"/>
      <c r="F452" s="921"/>
      <c r="G452" s="925"/>
      <c r="H452" s="1793"/>
      <c r="I452" s="331"/>
      <c r="J452" s="331"/>
      <c r="K452" s="169">
        <v>2020</v>
      </c>
      <c r="L452" s="1446">
        <v>201.15199999999999</v>
      </c>
      <c r="M452" s="1446"/>
      <c r="N452" s="170" t="s">
        <v>3917</v>
      </c>
      <c r="O452" s="178" t="s">
        <v>3915</v>
      </c>
      <c r="P452" s="2" t="s">
        <v>4035</v>
      </c>
      <c r="Q452" s="173" t="s">
        <v>3935</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93"/>
      <c r="I453" s="331">
        <v>44251</v>
      </c>
      <c r="J453" s="331"/>
      <c r="K453" s="169">
        <v>2020</v>
      </c>
      <c r="L453" s="1446">
        <v>201.16</v>
      </c>
      <c r="M453" s="1446"/>
      <c r="N453" s="170" t="s">
        <v>3239</v>
      </c>
      <c r="O453" s="178" t="s">
        <v>3250</v>
      </c>
      <c r="P453" s="148" t="s">
        <v>4035</v>
      </c>
      <c r="Q453" s="173" t="s">
        <v>3251</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3240</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3733</v>
      </c>
      <c r="BZ453" s="1280"/>
      <c r="CA453" s="13"/>
      <c r="CB453" s="13"/>
      <c r="CC453" s="13"/>
      <c r="CD453" s="13"/>
      <c r="CE453" s="1246" t="s">
        <v>2094</v>
      </c>
      <c r="CF453" s="38"/>
    </row>
    <row r="454" spans="1:84" ht="96.75" hidden="1" customHeight="1">
      <c r="A454" s="1467"/>
      <c r="B454" s="22"/>
      <c r="C454" s="1474">
        <v>44494</v>
      </c>
      <c r="D454" s="1474"/>
      <c r="E454" s="122"/>
      <c r="F454" s="122"/>
      <c r="G454" s="925"/>
      <c r="H454" s="1793"/>
      <c r="I454" s="331"/>
      <c r="J454" s="331"/>
      <c r="K454" s="169">
        <v>2020</v>
      </c>
      <c r="L454" s="1446">
        <v>201.161</v>
      </c>
      <c r="M454" s="1446"/>
      <c r="N454" s="170" t="s">
        <v>3917</v>
      </c>
      <c r="O454" s="178" t="s">
        <v>3916</v>
      </c>
      <c r="P454" s="148" t="s">
        <v>4035</v>
      </c>
      <c r="Q454" s="173" t="s">
        <v>3251</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93"/>
      <c r="I455" s="331">
        <v>44081</v>
      </c>
      <c r="J455" s="331"/>
      <c r="K455" s="169">
        <v>2020</v>
      </c>
      <c r="L455" s="1446">
        <v>205.01</v>
      </c>
      <c r="M455" s="1446"/>
      <c r="N455" s="170" t="s">
        <v>165</v>
      </c>
      <c r="O455" s="178" t="s">
        <v>3016</v>
      </c>
      <c r="P455" s="172" t="s">
        <v>45</v>
      </c>
      <c r="Q455" s="173" t="s">
        <v>2988</v>
      </c>
      <c r="R455" s="173" t="s">
        <v>2666</v>
      </c>
      <c r="S455" s="586">
        <v>15080</v>
      </c>
      <c r="T455" s="176">
        <v>43864</v>
      </c>
      <c r="U455" s="176">
        <v>43865</v>
      </c>
      <c r="V455" s="177">
        <v>43879</v>
      </c>
      <c r="W455" s="105" t="s">
        <v>67</v>
      </c>
      <c r="X455" s="178" t="s">
        <v>2989</v>
      </c>
      <c r="Y455" s="170" t="s">
        <v>708</v>
      </c>
      <c r="Z455" s="1062"/>
      <c r="AA455" s="369" t="s">
        <v>1176</v>
      </c>
      <c r="AB455" s="256" t="s">
        <v>3005</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3733</v>
      </c>
      <c r="BZ455" s="1280"/>
      <c r="CA455" s="13"/>
      <c r="CB455" s="13"/>
      <c r="CC455" s="13"/>
      <c r="CD455" s="13"/>
      <c r="CE455" s="1246" t="s">
        <v>2094</v>
      </c>
      <c r="CF455" s="38"/>
    </row>
    <row r="456" spans="1:84" ht="239.25" hidden="1" customHeight="1">
      <c r="A456" s="1467"/>
      <c r="B456" s="22"/>
      <c r="C456" s="22"/>
      <c r="D456" s="22"/>
      <c r="E456" s="921"/>
      <c r="F456" s="921"/>
      <c r="G456" s="925"/>
      <c r="H456" s="1793"/>
      <c r="I456" s="331">
        <v>44081</v>
      </c>
      <c r="J456" s="331"/>
      <c r="K456" s="169">
        <v>2020</v>
      </c>
      <c r="L456" s="1446">
        <v>205.02</v>
      </c>
      <c r="M456" s="1446"/>
      <c r="N456" s="1067" t="s">
        <v>165</v>
      </c>
      <c r="O456" s="1066" t="s">
        <v>3017</v>
      </c>
      <c r="P456" s="1195" t="s">
        <v>45</v>
      </c>
      <c r="Q456" s="452" t="s">
        <v>4018</v>
      </c>
      <c r="R456" s="452" t="s">
        <v>2578</v>
      </c>
      <c r="S456" s="1196">
        <v>139246.39999999999</v>
      </c>
      <c r="T456" s="176">
        <v>44275</v>
      </c>
      <c r="U456" s="998">
        <v>44287</v>
      </c>
      <c r="V456" s="999">
        <v>44289</v>
      </c>
      <c r="W456" s="1000" t="s">
        <v>67</v>
      </c>
      <c r="X456" s="1066" t="s">
        <v>3266</v>
      </c>
      <c r="Y456" s="1067" t="s">
        <v>708</v>
      </c>
      <c r="Z456" s="1062"/>
      <c r="AA456" s="369" t="s">
        <v>1176</v>
      </c>
      <c r="AB456" s="256" t="s">
        <v>3005</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3733</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3018</v>
      </c>
      <c r="P457" s="789" t="s">
        <v>250</v>
      </c>
      <c r="Q457" s="1078" t="s">
        <v>3975</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54"/>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93"/>
      <c r="I458" s="331">
        <v>44081</v>
      </c>
      <c r="J458" s="331"/>
      <c r="K458" s="169">
        <v>2020</v>
      </c>
      <c r="L458" s="1446">
        <v>205.04</v>
      </c>
      <c r="M458" s="1446"/>
      <c r="N458" s="1067" t="s">
        <v>165</v>
      </c>
      <c r="O458" s="1066" t="s">
        <v>3019</v>
      </c>
      <c r="P458" s="1195" t="s">
        <v>45</v>
      </c>
      <c r="Q458" s="452" t="s">
        <v>2993</v>
      </c>
      <c r="R458" s="452" t="s">
        <v>1975</v>
      </c>
      <c r="S458" s="1196">
        <v>25520</v>
      </c>
      <c r="T458" s="176">
        <v>43979</v>
      </c>
      <c r="U458" s="998" t="s">
        <v>1427</v>
      </c>
      <c r="V458" s="999" t="s">
        <v>1427</v>
      </c>
      <c r="W458" s="1000" t="s">
        <v>67</v>
      </c>
      <c r="X458" s="1066" t="s">
        <v>2994</v>
      </c>
      <c r="Y458" s="170" t="s">
        <v>3267</v>
      </c>
      <c r="Z458" s="1062"/>
      <c r="AA458" s="369" t="s">
        <v>1176</v>
      </c>
      <c r="AB458" s="256" t="s">
        <v>3006</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3733</v>
      </c>
      <c r="BZ458" s="1280"/>
      <c r="CA458" s="13"/>
      <c r="CB458" s="13"/>
      <c r="CC458" s="13"/>
      <c r="CD458" s="13"/>
      <c r="CE458" s="1246" t="s">
        <v>2094</v>
      </c>
      <c r="CF458" s="38"/>
    </row>
    <row r="459" spans="1:84" ht="115.5" hidden="1" customHeight="1">
      <c r="A459" s="1467"/>
      <c r="B459" s="22"/>
      <c r="C459" s="22"/>
      <c r="D459" s="22"/>
      <c r="E459" s="921"/>
      <c r="F459" s="921"/>
      <c r="G459" s="925"/>
      <c r="H459" s="1793"/>
      <c r="I459" s="331">
        <v>44081</v>
      </c>
      <c r="J459" s="331"/>
      <c r="K459" s="169">
        <v>2020</v>
      </c>
      <c r="L459" s="1446">
        <v>205.05</v>
      </c>
      <c r="M459" s="1446"/>
      <c r="N459" s="1067" t="s">
        <v>165</v>
      </c>
      <c r="O459" s="1066" t="s">
        <v>3020</v>
      </c>
      <c r="P459" s="1195" t="s">
        <v>45</v>
      </c>
      <c r="Q459" s="452" t="s">
        <v>2997</v>
      </c>
      <c r="R459" s="452" t="s">
        <v>1975</v>
      </c>
      <c r="S459" s="1196">
        <v>36772</v>
      </c>
      <c r="T459" s="176">
        <v>43979</v>
      </c>
      <c r="U459" s="998" t="s">
        <v>1427</v>
      </c>
      <c r="V459" s="999" t="s">
        <v>1427</v>
      </c>
      <c r="W459" s="1000" t="s">
        <v>67</v>
      </c>
      <c r="X459" s="1066" t="s">
        <v>2994</v>
      </c>
      <c r="Y459" s="170" t="s">
        <v>3267</v>
      </c>
      <c r="Z459" s="1062"/>
      <c r="AA459" s="369" t="s">
        <v>1176</v>
      </c>
      <c r="AB459" s="256" t="s">
        <v>3006</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3733</v>
      </c>
      <c r="BZ459" s="1280"/>
      <c r="CA459" s="13"/>
      <c r="CB459" s="13"/>
      <c r="CC459" s="13"/>
      <c r="CD459" s="13"/>
      <c r="CE459" s="1246" t="s">
        <v>2094</v>
      </c>
      <c r="CF459" s="38"/>
    </row>
    <row r="460" spans="1:84" ht="129" hidden="1" customHeight="1">
      <c r="A460" s="1467"/>
      <c r="B460" s="22"/>
      <c r="C460" s="22"/>
      <c r="D460" s="22"/>
      <c r="E460" s="921"/>
      <c r="F460" s="921"/>
      <c r="G460" s="925"/>
      <c r="H460" s="1793"/>
      <c r="I460" s="331">
        <v>44081</v>
      </c>
      <c r="J460" s="331"/>
      <c r="K460" s="169">
        <v>2020</v>
      </c>
      <c r="L460" s="1446">
        <v>205.06</v>
      </c>
      <c r="M460" s="1446"/>
      <c r="N460" s="1067" t="s">
        <v>165</v>
      </c>
      <c r="O460" s="1066" t="s">
        <v>3029</v>
      </c>
      <c r="P460" s="1195" t="s">
        <v>45</v>
      </c>
      <c r="Q460" s="173" t="s">
        <v>2998</v>
      </c>
      <c r="R460" s="173" t="s">
        <v>4412</v>
      </c>
      <c r="S460" s="174">
        <v>18096</v>
      </c>
      <c r="T460" s="176">
        <v>43979</v>
      </c>
      <c r="U460" s="176" t="s">
        <v>1427</v>
      </c>
      <c r="V460" s="177" t="s">
        <v>1427</v>
      </c>
      <c r="W460" s="105" t="s">
        <v>67</v>
      </c>
      <c r="X460" s="178" t="s">
        <v>2994</v>
      </c>
      <c r="Y460" s="170" t="s">
        <v>3267</v>
      </c>
      <c r="Z460" s="1062"/>
      <c r="AA460" s="369" t="s">
        <v>1176</v>
      </c>
      <c r="AB460" s="256" t="s">
        <v>3007</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3733</v>
      </c>
      <c r="BZ460" s="1280"/>
      <c r="CA460" s="13"/>
      <c r="CB460" s="13"/>
      <c r="CC460" s="13"/>
      <c r="CD460" s="13"/>
      <c r="CE460" s="1246" t="s">
        <v>2094</v>
      </c>
      <c r="CF460" s="38"/>
    </row>
    <row r="461" spans="1:84" ht="90.75" hidden="1" customHeight="1">
      <c r="A461" s="1467"/>
      <c r="B461" s="22"/>
      <c r="C461" s="22"/>
      <c r="D461" s="22"/>
      <c r="E461" s="921"/>
      <c r="F461" s="921"/>
      <c r="G461" s="925"/>
      <c r="H461" s="1793"/>
      <c r="I461" s="331">
        <v>44081</v>
      </c>
      <c r="J461" s="331"/>
      <c r="K461" s="169">
        <v>2020</v>
      </c>
      <c r="L461" s="1446">
        <v>205.07</v>
      </c>
      <c r="M461" s="1446"/>
      <c r="N461" s="170" t="s">
        <v>165</v>
      </c>
      <c r="O461" s="178" t="s">
        <v>3021</v>
      </c>
      <c r="P461" s="172" t="s">
        <v>45</v>
      </c>
      <c r="Q461" s="173" t="s">
        <v>3000</v>
      </c>
      <c r="R461" s="173" t="s">
        <v>1975</v>
      </c>
      <c r="S461" s="174">
        <v>22772</v>
      </c>
      <c r="T461" s="176">
        <v>43979</v>
      </c>
      <c r="U461" s="176" t="s">
        <v>1427</v>
      </c>
      <c r="V461" s="177" t="s">
        <v>1427</v>
      </c>
      <c r="W461" s="105" t="s">
        <v>67</v>
      </c>
      <c r="X461" s="178" t="s">
        <v>2994</v>
      </c>
      <c r="Y461" s="170" t="s">
        <v>3267</v>
      </c>
      <c r="Z461" s="1062"/>
      <c r="AA461" s="369" t="s">
        <v>1176</v>
      </c>
      <c r="AB461" s="256" t="s">
        <v>3008</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3733</v>
      </c>
      <c r="BZ461" s="1280"/>
      <c r="CA461" s="13"/>
      <c r="CB461" s="13"/>
      <c r="CC461" s="13"/>
      <c r="CD461" s="13"/>
      <c r="CE461" s="1246" t="s">
        <v>2094</v>
      </c>
      <c r="CF461" s="38"/>
    </row>
    <row r="462" spans="1:84" ht="106.5" hidden="1" customHeight="1">
      <c r="A462" s="1467"/>
      <c r="B462" s="22"/>
      <c r="C462" s="22"/>
      <c r="D462" s="22"/>
      <c r="E462" s="921"/>
      <c r="F462" s="921"/>
      <c r="G462" s="925"/>
      <c r="H462" s="1793"/>
      <c r="I462" s="331">
        <v>44081</v>
      </c>
      <c r="J462" s="331"/>
      <c r="K462" s="169">
        <v>2020</v>
      </c>
      <c r="L462" s="1446">
        <v>205.08</v>
      </c>
      <c r="M462" s="1446"/>
      <c r="N462" s="170" t="s">
        <v>165</v>
      </c>
      <c r="O462" s="178" t="s">
        <v>3022</v>
      </c>
      <c r="P462" s="172" t="s">
        <v>45</v>
      </c>
      <c r="Q462" s="173" t="s">
        <v>2999</v>
      </c>
      <c r="R462" s="173" t="s">
        <v>2580</v>
      </c>
      <c r="S462" s="174">
        <v>22772</v>
      </c>
      <c r="T462" s="673">
        <v>43979</v>
      </c>
      <c r="U462" s="176" t="s">
        <v>1427</v>
      </c>
      <c r="V462" s="177" t="s">
        <v>1427</v>
      </c>
      <c r="W462" s="105" t="s">
        <v>67</v>
      </c>
      <c r="X462" s="178" t="s">
        <v>2994</v>
      </c>
      <c r="Y462" s="170" t="s">
        <v>3267</v>
      </c>
      <c r="Z462" s="1062"/>
      <c r="AA462" s="369" t="s">
        <v>1176</v>
      </c>
      <c r="AB462" s="256" t="s">
        <v>3008</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3733</v>
      </c>
      <c r="BZ462" s="1280"/>
      <c r="CA462" s="13"/>
      <c r="CB462" s="13"/>
      <c r="CC462" s="13"/>
      <c r="CD462" s="13"/>
      <c r="CE462" s="1246" t="s">
        <v>2094</v>
      </c>
      <c r="CF462" s="38"/>
    </row>
    <row r="463" spans="1:84" ht="108.75" hidden="1" customHeight="1">
      <c r="A463" s="1467"/>
      <c r="B463" s="22"/>
      <c r="C463" s="22"/>
      <c r="D463" s="22"/>
      <c r="E463" s="921"/>
      <c r="F463" s="921"/>
      <c r="G463" s="925"/>
      <c r="H463" s="1793"/>
      <c r="I463" s="331">
        <v>44081</v>
      </c>
      <c r="J463" s="331"/>
      <c r="K463" s="169">
        <v>2020</v>
      </c>
      <c r="L463" s="1446">
        <v>205.09</v>
      </c>
      <c r="M463" s="1446"/>
      <c r="N463" s="170" t="s">
        <v>165</v>
      </c>
      <c r="O463" s="178" t="s">
        <v>3023</v>
      </c>
      <c r="P463" s="172" t="s">
        <v>45</v>
      </c>
      <c r="Q463" s="173" t="s">
        <v>3001</v>
      </c>
      <c r="R463" s="173" t="s">
        <v>2617</v>
      </c>
      <c r="S463" s="174">
        <v>17400</v>
      </c>
      <c r="T463" s="673">
        <v>44050</v>
      </c>
      <c r="U463" s="176">
        <v>44050</v>
      </c>
      <c r="V463" s="177">
        <v>44055</v>
      </c>
      <c r="W463" s="105" t="s">
        <v>67</v>
      </c>
      <c r="X463" s="178" t="s">
        <v>2989</v>
      </c>
      <c r="Y463" s="170" t="s">
        <v>3267</v>
      </c>
      <c r="Z463" s="1062"/>
      <c r="AA463" s="369" t="s">
        <v>1176</v>
      </c>
      <c r="AB463" s="256" t="s">
        <v>3004</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3733</v>
      </c>
      <c r="BZ463" s="1280"/>
      <c r="CA463" s="13"/>
      <c r="CB463" s="13"/>
      <c r="CC463" s="13"/>
      <c r="CD463" s="13"/>
      <c r="CE463" s="1246" t="s">
        <v>2094</v>
      </c>
      <c r="CF463" s="38"/>
    </row>
    <row r="464" spans="1:84" ht="120" hidden="1" customHeight="1">
      <c r="A464" s="1467"/>
      <c r="B464" s="22"/>
      <c r="C464" s="22"/>
      <c r="D464" s="22"/>
      <c r="E464" s="921"/>
      <c r="F464" s="921"/>
      <c r="G464" s="925"/>
      <c r="H464" s="1793"/>
      <c r="I464" s="331"/>
      <c r="J464" s="331"/>
      <c r="K464" s="169">
        <v>2020</v>
      </c>
      <c r="L464" s="1446">
        <v>205.1</v>
      </c>
      <c r="M464" s="1446"/>
      <c r="N464" s="170" t="s">
        <v>165</v>
      </c>
      <c r="O464" s="178" t="s">
        <v>3024</v>
      </c>
      <c r="P464" s="172" t="s">
        <v>45</v>
      </c>
      <c r="Q464" s="173" t="s">
        <v>3259</v>
      </c>
      <c r="R464" s="173" t="s">
        <v>2541</v>
      </c>
      <c r="S464" s="174">
        <v>34046</v>
      </c>
      <c r="T464" s="673">
        <v>44026</v>
      </c>
      <c r="U464" s="176" t="s">
        <v>1427</v>
      </c>
      <c r="V464" s="177" t="s">
        <v>1427</v>
      </c>
      <c r="W464" s="1000" t="s">
        <v>67</v>
      </c>
      <c r="X464" s="178" t="s">
        <v>2994</v>
      </c>
      <c r="Y464" s="170" t="s">
        <v>3260</v>
      </c>
      <c r="Z464" s="201" t="s">
        <v>1427</v>
      </c>
      <c r="AA464" s="369" t="s">
        <v>1176</v>
      </c>
      <c r="AB464" s="33" t="s">
        <v>3261</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3733</v>
      </c>
      <c r="BZ464" s="1280"/>
      <c r="CA464" s="13"/>
      <c r="CB464" s="13"/>
      <c r="CC464" s="13"/>
      <c r="CD464" s="13"/>
      <c r="CE464" s="1246" t="s">
        <v>2094</v>
      </c>
      <c r="CF464" s="38"/>
    </row>
    <row r="465" spans="1:84" ht="81.75" hidden="1" customHeight="1">
      <c r="A465" s="1467"/>
      <c r="B465" s="22"/>
      <c r="C465" s="22"/>
      <c r="D465" s="22"/>
      <c r="E465" s="921"/>
      <c r="F465" s="921"/>
      <c r="G465" s="925"/>
      <c r="H465" s="1793"/>
      <c r="I465" s="331"/>
      <c r="J465" s="331"/>
      <c r="K465" s="169">
        <v>2020</v>
      </c>
      <c r="L465" s="1446">
        <v>205.11</v>
      </c>
      <c r="M465" s="1446"/>
      <c r="N465" s="170" t="s">
        <v>165</v>
      </c>
      <c r="O465" s="178" t="s">
        <v>3262</v>
      </c>
      <c r="P465" s="172" t="s">
        <v>45</v>
      </c>
      <c r="Q465" s="173" t="s">
        <v>4021</v>
      </c>
      <c r="R465" s="173" t="s">
        <v>1975</v>
      </c>
      <c r="S465" s="174">
        <f>3500*1.16</f>
        <v>4059.9999999999995</v>
      </c>
      <c r="T465" s="673">
        <v>44454</v>
      </c>
      <c r="U465" s="176" t="s">
        <v>1427</v>
      </c>
      <c r="V465" s="177" t="s">
        <v>1427</v>
      </c>
      <c r="W465" s="1000" t="s">
        <v>67</v>
      </c>
      <c r="X465" s="178" t="s">
        <v>3263</v>
      </c>
      <c r="Y465" s="170" t="s">
        <v>3267</v>
      </c>
      <c r="Z465" s="201" t="s">
        <v>1427</v>
      </c>
      <c r="AA465" s="369" t="s">
        <v>1176</v>
      </c>
      <c r="AB465" s="33" t="s">
        <v>3264</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3733</v>
      </c>
      <c r="BZ465" s="1280"/>
      <c r="CA465" s="13"/>
      <c r="CB465" s="13"/>
      <c r="CC465" s="13"/>
      <c r="CD465" s="13"/>
      <c r="CE465" s="1246" t="s">
        <v>2094</v>
      </c>
      <c r="CF465" s="38"/>
    </row>
    <row r="466" spans="1:84" ht="210.75" hidden="1" customHeight="1">
      <c r="A466" s="1467"/>
      <c r="B466" s="22"/>
      <c r="C466" s="22"/>
      <c r="D466" s="22"/>
      <c r="E466" s="921"/>
      <c r="F466" s="921"/>
      <c r="G466" s="925"/>
      <c r="H466" s="1793"/>
      <c r="I466" s="331"/>
      <c r="J466" s="331"/>
      <c r="K466" s="169">
        <v>2020</v>
      </c>
      <c r="L466" s="1446">
        <v>205.12</v>
      </c>
      <c r="M466" s="1446"/>
      <c r="N466" s="170" t="s">
        <v>165</v>
      </c>
      <c r="O466" s="178" t="s">
        <v>3265</v>
      </c>
      <c r="P466" s="172" t="s">
        <v>45</v>
      </c>
      <c r="Q466" s="173" t="s">
        <v>4019</v>
      </c>
      <c r="R466" s="173" t="s">
        <v>2578</v>
      </c>
      <c r="S466" s="174">
        <v>139246</v>
      </c>
      <c r="T466" s="673">
        <v>44082</v>
      </c>
      <c r="U466" s="176">
        <v>44088</v>
      </c>
      <c r="V466" s="177">
        <v>44094</v>
      </c>
      <c r="W466" s="1000" t="s">
        <v>67</v>
      </c>
      <c r="X466" s="1066" t="s">
        <v>3266</v>
      </c>
      <c r="Y466" s="1067" t="s">
        <v>3267</v>
      </c>
      <c r="Z466" s="201" t="s">
        <v>1427</v>
      </c>
      <c r="AA466" s="369" t="s">
        <v>1176</v>
      </c>
      <c r="AB466" s="33" t="s">
        <v>3005</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3733</v>
      </c>
      <c r="BZ466" s="1280"/>
      <c r="CA466" s="13"/>
      <c r="CB466" s="13"/>
      <c r="CC466" s="13"/>
      <c r="CD466" s="13"/>
      <c r="CE466" s="1246" t="s">
        <v>2094</v>
      </c>
      <c r="CF466" s="38"/>
    </row>
    <row r="467" spans="1:84" ht="148.5" hidden="1" customHeight="1">
      <c r="A467" s="1467"/>
      <c r="B467" s="22"/>
      <c r="C467" s="22"/>
      <c r="D467" s="22"/>
      <c r="E467" s="921"/>
      <c r="F467" s="921"/>
      <c r="G467" s="925"/>
      <c r="H467" s="1793"/>
      <c r="I467" s="331"/>
      <c r="J467" s="331"/>
      <c r="K467" s="169">
        <v>2020</v>
      </c>
      <c r="L467" s="1446">
        <v>205.13</v>
      </c>
      <c r="M467" s="1446"/>
      <c r="N467" s="170" t="s">
        <v>165</v>
      </c>
      <c r="O467" s="178" t="s">
        <v>3268</v>
      </c>
      <c r="P467" s="172" t="s">
        <v>45</v>
      </c>
      <c r="Q467" s="173" t="s">
        <v>3269</v>
      </c>
      <c r="R467" s="173" t="s">
        <v>2578</v>
      </c>
      <c r="S467" s="174">
        <v>139246</v>
      </c>
      <c r="T467" s="673">
        <v>44081</v>
      </c>
      <c r="U467" s="176">
        <v>44082</v>
      </c>
      <c r="V467" s="177">
        <v>44086</v>
      </c>
      <c r="W467" s="1000" t="s">
        <v>67</v>
      </c>
      <c r="X467" s="1066" t="s">
        <v>3266</v>
      </c>
      <c r="Y467" s="1067" t="s">
        <v>3267</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3733</v>
      </c>
      <c r="BZ467" s="1280"/>
      <c r="CA467" s="13"/>
      <c r="CB467" s="13"/>
      <c r="CC467" s="13"/>
      <c r="CD467" s="13"/>
      <c r="CE467" s="1246" t="s">
        <v>2094</v>
      </c>
      <c r="CF467" s="38"/>
    </row>
    <row r="468" spans="1:84" ht="158.25" hidden="1" customHeight="1">
      <c r="A468" s="1467"/>
      <c r="B468" s="22"/>
      <c r="C468" s="22"/>
      <c r="D468" s="22"/>
      <c r="E468" s="921"/>
      <c r="F468" s="921"/>
      <c r="G468" s="925"/>
      <c r="H468" s="1793"/>
      <c r="I468" s="331"/>
      <c r="J468" s="331"/>
      <c r="K468" s="169">
        <v>2020</v>
      </c>
      <c r="L468" s="1446">
        <v>205.14</v>
      </c>
      <c r="M468" s="1446"/>
      <c r="N468" s="170" t="s">
        <v>165</v>
      </c>
      <c r="O468" s="178" t="s">
        <v>3270</v>
      </c>
      <c r="P468" s="172" t="s">
        <v>45</v>
      </c>
      <c r="Q468" s="173" t="s">
        <v>3271</v>
      </c>
      <c r="R468" s="173" t="s">
        <v>4412</v>
      </c>
      <c r="S468" s="174">
        <v>32944</v>
      </c>
      <c r="T468" s="673">
        <v>44075</v>
      </c>
      <c r="U468" s="176" t="s">
        <v>1427</v>
      </c>
      <c r="V468" s="177" t="s">
        <v>1427</v>
      </c>
      <c r="W468" s="1000" t="s">
        <v>67</v>
      </c>
      <c r="X468" s="178" t="s">
        <v>2994</v>
      </c>
      <c r="Y468" s="170" t="s">
        <v>3050</v>
      </c>
      <c r="Z468" s="1062"/>
      <c r="AA468" s="369" t="s">
        <v>1176</v>
      </c>
      <c r="AB468" s="33" t="s">
        <v>3272</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3733</v>
      </c>
      <c r="BZ468" s="1280"/>
      <c r="CA468" s="13"/>
      <c r="CB468" s="13"/>
      <c r="CC468" s="13"/>
      <c r="CD468" s="13"/>
      <c r="CE468" s="1246" t="s">
        <v>2094</v>
      </c>
      <c r="CF468" s="38"/>
    </row>
    <row r="469" spans="1:84" ht="178.5" hidden="1" customHeight="1">
      <c r="A469" s="1467"/>
      <c r="B469" s="22"/>
      <c r="C469" s="22"/>
      <c r="D469" s="22"/>
      <c r="E469" s="921"/>
      <c r="F469" s="921"/>
      <c r="G469" s="925"/>
      <c r="H469" s="1793"/>
      <c r="I469" s="331"/>
      <c r="J469" s="331"/>
      <c r="K469" s="169">
        <v>2020</v>
      </c>
      <c r="L469" s="1446">
        <v>205.15</v>
      </c>
      <c r="M469" s="1446"/>
      <c r="N469" s="170" t="s">
        <v>165</v>
      </c>
      <c r="O469" s="178" t="s">
        <v>3273</v>
      </c>
      <c r="P469" s="172" t="s">
        <v>45</v>
      </c>
      <c r="Q469" s="173" t="s">
        <v>3274</v>
      </c>
      <c r="R469" s="173" t="s">
        <v>1975</v>
      </c>
      <c r="S469" s="174">
        <v>25520</v>
      </c>
      <c r="T469" s="673">
        <v>44075</v>
      </c>
      <c r="U469" s="176" t="s">
        <v>1427</v>
      </c>
      <c r="V469" s="177" t="s">
        <v>1427</v>
      </c>
      <c r="W469" s="1000" t="s">
        <v>67</v>
      </c>
      <c r="X469" s="178" t="s">
        <v>2994</v>
      </c>
      <c r="Y469" s="170" t="s">
        <v>212</v>
      </c>
      <c r="Z469" s="1062"/>
      <c r="AA469" s="369" t="s">
        <v>1176</v>
      </c>
      <c r="AB469" s="33" t="s">
        <v>3272</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3733</v>
      </c>
      <c r="BZ469" s="1280"/>
      <c r="CA469" s="13"/>
      <c r="CB469" s="13"/>
      <c r="CC469" s="13"/>
      <c r="CD469" s="13"/>
      <c r="CE469" s="1246" t="s">
        <v>2094</v>
      </c>
      <c r="CF469" s="38"/>
    </row>
    <row r="470" spans="1:84" ht="152.25" hidden="1" customHeight="1">
      <c r="A470" s="1467"/>
      <c r="B470" s="22"/>
      <c r="C470" s="22"/>
      <c r="D470" s="22"/>
      <c r="E470" s="921"/>
      <c r="F470" s="921"/>
      <c r="G470" s="925"/>
      <c r="H470" s="1793"/>
      <c r="I470" s="331"/>
      <c r="J470" s="331"/>
      <c r="K470" s="169">
        <v>2020</v>
      </c>
      <c r="L470" s="1446">
        <v>205.16</v>
      </c>
      <c r="M470" s="1446"/>
      <c r="N470" s="170" t="s">
        <v>165</v>
      </c>
      <c r="O470" s="178" t="s">
        <v>3275</v>
      </c>
      <c r="P470" s="172" t="s">
        <v>45</v>
      </c>
      <c r="Q470" s="173" t="s">
        <v>3276</v>
      </c>
      <c r="R470" s="173" t="s">
        <v>1975</v>
      </c>
      <c r="S470" s="174">
        <v>36656</v>
      </c>
      <c r="T470" s="673">
        <v>44124</v>
      </c>
      <c r="U470" s="176" t="s">
        <v>1427</v>
      </c>
      <c r="V470" s="177" t="s">
        <v>1427</v>
      </c>
      <c r="W470" s="1000" t="s">
        <v>67</v>
      </c>
      <c r="X470" s="178" t="s">
        <v>2994</v>
      </c>
      <c r="Y470" s="170" t="s">
        <v>448</v>
      </c>
      <c r="Z470" s="1062"/>
      <c r="AA470" s="369" t="s">
        <v>1176</v>
      </c>
      <c r="AB470" s="33" t="s">
        <v>3277</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3733</v>
      </c>
      <c r="BZ470" s="1280"/>
      <c r="CA470" s="13"/>
      <c r="CB470" s="13"/>
      <c r="CC470" s="13"/>
      <c r="CD470" s="13"/>
      <c r="CE470" s="1246" t="s">
        <v>2094</v>
      </c>
      <c r="CF470" s="38"/>
    </row>
    <row r="471" spans="1:84" ht="81" hidden="1" customHeight="1">
      <c r="A471" s="1467"/>
      <c r="B471" s="22"/>
      <c r="C471" s="22"/>
      <c r="D471" s="22"/>
      <c r="E471" s="921"/>
      <c r="F471" s="921"/>
      <c r="G471" s="925"/>
      <c r="H471" s="1793"/>
      <c r="I471" s="331"/>
      <c r="J471" s="331"/>
      <c r="K471" s="169">
        <v>2020</v>
      </c>
      <c r="L471" s="1446">
        <v>205.17</v>
      </c>
      <c r="M471" s="1446"/>
      <c r="N471" s="170" t="s">
        <v>165</v>
      </c>
      <c r="O471" s="178" t="s">
        <v>3278</v>
      </c>
      <c r="P471" s="172" t="s">
        <v>45</v>
      </c>
      <c r="Q471" s="173" t="s">
        <v>3370</v>
      </c>
      <c r="R471" s="173" t="s">
        <v>1975</v>
      </c>
      <c r="S471" s="586">
        <f>3500*1.16</f>
        <v>4059.9999999999995</v>
      </c>
      <c r="T471" s="673">
        <v>44089</v>
      </c>
      <c r="U471" s="176" t="s">
        <v>67</v>
      </c>
      <c r="V471" s="177" t="s">
        <v>67</v>
      </c>
      <c r="W471" s="1000" t="s">
        <v>67</v>
      </c>
      <c r="X471" s="178" t="s">
        <v>3371</v>
      </c>
      <c r="Y471" s="170" t="s">
        <v>3267</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3733</v>
      </c>
      <c r="BZ471" s="1280"/>
      <c r="CA471" s="13"/>
      <c r="CB471" s="13"/>
      <c r="CC471" s="13"/>
      <c r="CD471" s="13"/>
      <c r="CE471" s="1246" t="s">
        <v>2094</v>
      </c>
      <c r="CF471" s="38"/>
    </row>
    <row r="472" spans="1:84" ht="90.75" hidden="1" customHeight="1">
      <c r="A472" s="1467"/>
      <c r="B472" s="22"/>
      <c r="C472" s="22"/>
      <c r="D472" s="22"/>
      <c r="E472" s="921"/>
      <c r="F472" s="921"/>
      <c r="G472" s="925"/>
      <c r="H472" s="1793"/>
      <c r="I472" s="331"/>
      <c r="J472" s="331"/>
      <c r="K472" s="169">
        <v>2020</v>
      </c>
      <c r="L472" s="1446">
        <v>205.18</v>
      </c>
      <c r="M472" s="1446"/>
      <c r="N472" s="170" t="s">
        <v>165</v>
      </c>
      <c r="O472" s="178" t="s">
        <v>3279</v>
      </c>
      <c r="P472" s="172" t="s">
        <v>45</v>
      </c>
      <c r="Q472" s="173" t="s">
        <v>3372</v>
      </c>
      <c r="R472" s="173" t="s">
        <v>1975</v>
      </c>
      <c r="S472" s="586">
        <f>18000*1.16</f>
        <v>20880</v>
      </c>
      <c r="T472" s="673">
        <v>44089</v>
      </c>
      <c r="U472" s="176" t="s">
        <v>67</v>
      </c>
      <c r="V472" s="177" t="s">
        <v>67</v>
      </c>
      <c r="W472" s="1000" t="s">
        <v>67</v>
      </c>
      <c r="X472" s="178" t="s">
        <v>3371</v>
      </c>
      <c r="Y472" s="170" t="s">
        <v>3267</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3733</v>
      </c>
      <c r="BZ472" s="1280"/>
      <c r="CA472" s="13"/>
      <c r="CB472" s="13"/>
      <c r="CC472" s="13"/>
      <c r="CD472" s="13"/>
      <c r="CE472" s="1246" t="s">
        <v>2094</v>
      </c>
      <c r="CF472" s="38"/>
    </row>
    <row r="473" spans="1:84" ht="90.75" hidden="1" customHeight="1">
      <c r="A473" s="1467"/>
      <c r="B473" s="22"/>
      <c r="C473" s="22"/>
      <c r="D473" s="22"/>
      <c r="E473" s="921"/>
      <c r="F473" s="921"/>
      <c r="G473" s="925"/>
      <c r="H473" s="1793"/>
      <c r="I473" s="331"/>
      <c r="J473" s="331"/>
      <c r="K473" s="169">
        <v>2020</v>
      </c>
      <c r="L473" s="1446">
        <v>205.19</v>
      </c>
      <c r="M473" s="1446"/>
      <c r="N473" s="170" t="s">
        <v>165</v>
      </c>
      <c r="O473" s="178" t="s">
        <v>3280</v>
      </c>
      <c r="P473" s="172" t="s">
        <v>45</v>
      </c>
      <c r="Q473" s="173" t="s">
        <v>3373</v>
      </c>
      <c r="R473" s="173" t="s">
        <v>2518</v>
      </c>
      <c r="S473" s="586">
        <f>5000*1.16</f>
        <v>5800</v>
      </c>
      <c r="T473" s="673">
        <v>44089</v>
      </c>
      <c r="U473" s="176" t="s">
        <v>67</v>
      </c>
      <c r="V473" s="177" t="s">
        <v>67</v>
      </c>
      <c r="W473" s="1000" t="s">
        <v>67</v>
      </c>
      <c r="X473" s="178" t="s">
        <v>3371</v>
      </c>
      <c r="Y473" s="170" t="s">
        <v>3267</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3733</v>
      </c>
      <c r="BZ473" s="1280"/>
      <c r="CA473" s="13"/>
      <c r="CB473" s="13"/>
      <c r="CC473" s="13"/>
      <c r="CD473" s="13"/>
      <c r="CE473" s="1246" t="s">
        <v>2094</v>
      </c>
      <c r="CF473" s="38"/>
    </row>
    <row r="474" spans="1:84" ht="110.25" hidden="1" customHeight="1">
      <c r="A474" s="1467"/>
      <c r="B474" s="22"/>
      <c r="C474" s="22"/>
      <c r="D474" s="22"/>
      <c r="E474" s="921"/>
      <c r="F474" s="921"/>
      <c r="G474" s="925"/>
      <c r="H474" s="1793"/>
      <c r="I474" s="331"/>
      <c r="J474" s="331"/>
      <c r="K474" s="169">
        <v>2020</v>
      </c>
      <c r="L474" s="1446">
        <v>205.2</v>
      </c>
      <c r="M474" s="1446"/>
      <c r="N474" s="170" t="s">
        <v>165</v>
      </c>
      <c r="O474" s="178" t="s">
        <v>3281</v>
      </c>
      <c r="P474" s="172" t="s">
        <v>45</v>
      </c>
      <c r="Q474" s="173" t="s">
        <v>4020</v>
      </c>
      <c r="R474" s="173" t="s">
        <v>67</v>
      </c>
      <c r="S474" s="586">
        <f>4500*1.16</f>
        <v>5220</v>
      </c>
      <c r="T474" s="673">
        <v>44089</v>
      </c>
      <c r="U474" s="176" t="s">
        <v>67</v>
      </c>
      <c r="V474" s="177" t="s">
        <v>67</v>
      </c>
      <c r="W474" s="1000" t="s">
        <v>67</v>
      </c>
      <c r="X474" s="178" t="s">
        <v>3371</v>
      </c>
      <c r="Y474" s="170" t="s">
        <v>3267</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3733</v>
      </c>
      <c r="BZ474" s="1280"/>
      <c r="CA474" s="13"/>
      <c r="CB474" s="13"/>
      <c r="CC474" s="13"/>
      <c r="CD474" s="13"/>
      <c r="CE474" s="1246" t="s">
        <v>2094</v>
      </c>
      <c r="CF474" s="38"/>
    </row>
    <row r="475" spans="1:84" ht="94.5" hidden="1" customHeight="1">
      <c r="A475" s="1467"/>
      <c r="B475" s="22"/>
      <c r="C475" s="22"/>
      <c r="D475" s="22"/>
      <c r="E475" s="921"/>
      <c r="F475" s="921"/>
      <c r="G475" s="925"/>
      <c r="H475" s="1793"/>
      <c r="I475" s="331"/>
      <c r="J475" s="331"/>
      <c r="K475" s="169">
        <v>2020</v>
      </c>
      <c r="L475" s="1446">
        <v>205.21</v>
      </c>
      <c r="M475" s="1446"/>
      <c r="N475" s="170" t="s">
        <v>165</v>
      </c>
      <c r="O475" s="178" t="s">
        <v>3282</v>
      </c>
      <c r="P475" s="172" t="s">
        <v>45</v>
      </c>
      <c r="Q475" s="173" t="s">
        <v>3374</v>
      </c>
      <c r="R475" s="173" t="s">
        <v>1975</v>
      </c>
      <c r="S475" s="586">
        <f>5000*1.16</f>
        <v>5800</v>
      </c>
      <c r="T475" s="673">
        <v>44089</v>
      </c>
      <c r="U475" s="176" t="s">
        <v>67</v>
      </c>
      <c r="V475" s="177" t="s">
        <v>67</v>
      </c>
      <c r="W475" s="1000" t="s">
        <v>67</v>
      </c>
      <c r="X475" s="178" t="s">
        <v>3371</v>
      </c>
      <c r="Y475" s="170" t="s">
        <v>3267</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3733</v>
      </c>
      <c r="BZ475" s="1280"/>
      <c r="CA475" s="13"/>
      <c r="CB475" s="13"/>
      <c r="CC475" s="13"/>
      <c r="CD475" s="13"/>
      <c r="CE475" s="1246" t="s">
        <v>2094</v>
      </c>
      <c r="CF475" s="38"/>
    </row>
    <row r="476" spans="1:84" ht="105" hidden="1" customHeight="1">
      <c r="A476" s="1467"/>
      <c r="B476" s="22"/>
      <c r="C476" s="22"/>
      <c r="D476" s="22"/>
      <c r="E476" s="921"/>
      <c r="F476" s="921"/>
      <c r="G476" s="925"/>
      <c r="H476" s="1793"/>
      <c r="I476" s="331"/>
      <c r="J476" s="331"/>
      <c r="K476" s="169">
        <v>2020</v>
      </c>
      <c r="L476" s="1446">
        <v>205.22</v>
      </c>
      <c r="M476" s="1446"/>
      <c r="N476" s="170" t="s">
        <v>165</v>
      </c>
      <c r="O476" s="178" t="s">
        <v>3283</v>
      </c>
      <c r="P476" s="172" t="s">
        <v>45</v>
      </c>
      <c r="Q476" s="173" t="s">
        <v>3375</v>
      </c>
      <c r="R476" s="173" t="s">
        <v>1975</v>
      </c>
      <c r="S476" s="586">
        <f>4500*1.16</f>
        <v>5220</v>
      </c>
      <c r="T476" s="673">
        <v>44089</v>
      </c>
      <c r="U476" s="176" t="s">
        <v>67</v>
      </c>
      <c r="V476" s="177" t="s">
        <v>67</v>
      </c>
      <c r="W476" s="1000" t="s">
        <v>67</v>
      </c>
      <c r="X476" s="178" t="s">
        <v>3371</v>
      </c>
      <c r="Y476" s="170" t="s">
        <v>3267</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3733</v>
      </c>
      <c r="BZ476" s="1280"/>
      <c r="CA476" s="13"/>
      <c r="CB476" s="13"/>
      <c r="CC476" s="13"/>
      <c r="CD476" s="13"/>
      <c r="CE476" s="1246" t="s">
        <v>2094</v>
      </c>
      <c r="CF476" s="38"/>
    </row>
    <row r="477" spans="1:84" ht="109.5" hidden="1" customHeight="1">
      <c r="A477" s="1467"/>
      <c r="B477" s="22"/>
      <c r="C477" s="22"/>
      <c r="D477" s="22"/>
      <c r="E477" s="921"/>
      <c r="F477" s="921"/>
      <c r="G477" s="925"/>
      <c r="H477" s="1793"/>
      <c r="I477" s="331"/>
      <c r="J477" s="331"/>
      <c r="K477" s="169">
        <v>2020</v>
      </c>
      <c r="L477" s="1446">
        <v>205.23</v>
      </c>
      <c r="M477" s="1446"/>
      <c r="N477" s="170" t="s">
        <v>165</v>
      </c>
      <c r="O477" s="178" t="s">
        <v>3284</v>
      </c>
      <c r="P477" s="172" t="s">
        <v>45</v>
      </c>
      <c r="Q477" s="173" t="s">
        <v>3376</v>
      </c>
      <c r="R477" s="173" t="s">
        <v>4826</v>
      </c>
      <c r="S477" s="586">
        <f>1500*1.16</f>
        <v>1739.9999999999998</v>
      </c>
      <c r="T477" s="673">
        <v>44089</v>
      </c>
      <c r="U477" s="176" t="s">
        <v>67</v>
      </c>
      <c r="V477" s="177" t="s">
        <v>67</v>
      </c>
      <c r="W477" s="1000" t="s">
        <v>67</v>
      </c>
      <c r="X477" s="178" t="s">
        <v>3371</v>
      </c>
      <c r="Y477" s="170" t="s">
        <v>3267</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3733</v>
      </c>
      <c r="BZ477" s="1280"/>
      <c r="CA477" s="13"/>
      <c r="CB477" s="13"/>
      <c r="CC477" s="13"/>
      <c r="CD477" s="13"/>
      <c r="CE477" s="1246" t="s">
        <v>2094</v>
      </c>
      <c r="CF477" s="38"/>
    </row>
    <row r="478" spans="1:84" ht="90.75" hidden="1" customHeight="1">
      <c r="A478" s="1467"/>
      <c r="B478" s="22"/>
      <c r="C478" s="22"/>
      <c r="D478" s="22"/>
      <c r="E478" s="921"/>
      <c r="F478" s="921"/>
      <c r="G478" s="925"/>
      <c r="H478" s="1793"/>
      <c r="I478" s="331"/>
      <c r="J478" s="331"/>
      <c r="K478" s="169">
        <v>2020</v>
      </c>
      <c r="L478" s="1446">
        <v>205.24</v>
      </c>
      <c r="M478" s="1446"/>
      <c r="N478" s="170" t="s">
        <v>165</v>
      </c>
      <c r="O478" s="178" t="s">
        <v>3285</v>
      </c>
      <c r="P478" s="172" t="s">
        <v>45</v>
      </c>
      <c r="Q478" s="173" t="s">
        <v>3377</v>
      </c>
      <c r="R478" s="173" t="s">
        <v>4412</v>
      </c>
      <c r="S478" s="586">
        <f>2500*1.16</f>
        <v>2900</v>
      </c>
      <c r="T478" s="673">
        <v>44089</v>
      </c>
      <c r="U478" s="176" t="s">
        <v>67</v>
      </c>
      <c r="V478" s="177" t="s">
        <v>67</v>
      </c>
      <c r="W478" s="1000" t="s">
        <v>67</v>
      </c>
      <c r="X478" s="178" t="s">
        <v>3371</v>
      </c>
      <c r="Y478" s="170" t="s">
        <v>3267</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3733</v>
      </c>
      <c r="BZ478" s="1280"/>
      <c r="CA478" s="13"/>
      <c r="CB478" s="13"/>
      <c r="CC478" s="13"/>
      <c r="CD478" s="13"/>
      <c r="CE478" s="1246" t="s">
        <v>2094</v>
      </c>
      <c r="CF478" s="38"/>
    </row>
    <row r="479" spans="1:84" ht="87.75" hidden="1" customHeight="1">
      <c r="A479" s="1467"/>
      <c r="B479" s="22"/>
      <c r="C479" s="22"/>
      <c r="D479" s="22"/>
      <c r="E479" s="921"/>
      <c r="F479" s="921"/>
      <c r="G479" s="925"/>
      <c r="H479" s="1793"/>
      <c r="I479" s="331"/>
      <c r="J479" s="331"/>
      <c r="K479" s="169">
        <v>2020</v>
      </c>
      <c r="L479" s="1446">
        <v>205.25</v>
      </c>
      <c r="M479" s="1446"/>
      <c r="N479" s="170" t="s">
        <v>165</v>
      </c>
      <c r="O479" s="178" t="s">
        <v>3286</v>
      </c>
      <c r="P479" s="172" t="s">
        <v>45</v>
      </c>
      <c r="Q479" s="173" t="s">
        <v>3378</v>
      </c>
      <c r="R479" s="173" t="s">
        <v>1975</v>
      </c>
      <c r="S479" s="586">
        <f>2500*1.16</f>
        <v>2900</v>
      </c>
      <c r="T479" s="673">
        <v>44089</v>
      </c>
      <c r="U479" s="176" t="s">
        <v>67</v>
      </c>
      <c r="V479" s="177" t="s">
        <v>67</v>
      </c>
      <c r="W479" s="1000" t="s">
        <v>67</v>
      </c>
      <c r="X479" s="178" t="s">
        <v>3371</v>
      </c>
      <c r="Y479" s="170" t="s">
        <v>3267</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3733</v>
      </c>
      <c r="BZ479" s="1280"/>
      <c r="CA479" s="13"/>
      <c r="CB479" s="13"/>
      <c r="CC479" s="13"/>
      <c r="CD479" s="13"/>
      <c r="CE479" s="1246" t="s">
        <v>2094</v>
      </c>
      <c r="CF479" s="38"/>
    </row>
    <row r="480" spans="1:84" ht="84.75" hidden="1" customHeight="1">
      <c r="A480" s="1467"/>
      <c r="B480" s="22"/>
      <c r="C480" s="22"/>
      <c r="D480" s="22"/>
      <c r="E480" s="921"/>
      <c r="F480" s="921"/>
      <c r="G480" s="925"/>
      <c r="H480" s="1793"/>
      <c r="I480" s="331"/>
      <c r="J480" s="331"/>
      <c r="K480" s="169">
        <v>2020</v>
      </c>
      <c r="L480" s="1446">
        <v>205.26</v>
      </c>
      <c r="M480" s="1446"/>
      <c r="N480" s="170" t="s">
        <v>165</v>
      </c>
      <c r="O480" s="178" t="s">
        <v>3287</v>
      </c>
      <c r="P480" s="172" t="s">
        <v>45</v>
      </c>
      <c r="Q480" s="173" t="s">
        <v>3380</v>
      </c>
      <c r="R480" s="173" t="s">
        <v>2666</v>
      </c>
      <c r="S480" s="586">
        <f>3500*1.16</f>
        <v>4059.9999999999995</v>
      </c>
      <c r="T480" s="673">
        <v>44089</v>
      </c>
      <c r="U480" s="176" t="s">
        <v>67</v>
      </c>
      <c r="V480" s="177" t="s">
        <v>67</v>
      </c>
      <c r="W480" s="1000" t="s">
        <v>67</v>
      </c>
      <c r="X480" s="178" t="s">
        <v>3371</v>
      </c>
      <c r="Y480" s="170" t="s">
        <v>3267</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3733</v>
      </c>
      <c r="BZ480" s="1280"/>
      <c r="CA480" s="13"/>
      <c r="CB480" s="13"/>
      <c r="CC480" s="13"/>
      <c r="CD480" s="13"/>
      <c r="CE480" s="1246" t="s">
        <v>2094</v>
      </c>
      <c r="CF480" s="38"/>
    </row>
    <row r="481" spans="1:84" ht="90.75" hidden="1" customHeight="1">
      <c r="A481" s="1467"/>
      <c r="B481" s="22"/>
      <c r="C481" s="22"/>
      <c r="D481" s="22"/>
      <c r="E481" s="921"/>
      <c r="F481" s="921"/>
      <c r="G481" s="925"/>
      <c r="H481" s="1793"/>
      <c r="I481" s="331"/>
      <c r="J481" s="331"/>
      <c r="K481" s="169">
        <v>2020</v>
      </c>
      <c r="L481" s="1446">
        <v>205.27</v>
      </c>
      <c r="M481" s="1446"/>
      <c r="N481" s="170" t="s">
        <v>165</v>
      </c>
      <c r="O481" s="178" t="s">
        <v>3288</v>
      </c>
      <c r="P481" s="172" t="s">
        <v>45</v>
      </c>
      <c r="Q481" s="173" t="s">
        <v>3381</v>
      </c>
      <c r="R481" s="173" t="s">
        <v>4413</v>
      </c>
      <c r="S481" s="586">
        <f>3200*1.16</f>
        <v>3711.9999999999995</v>
      </c>
      <c r="T481" s="673">
        <v>44089</v>
      </c>
      <c r="U481" s="176" t="s">
        <v>67</v>
      </c>
      <c r="V481" s="177" t="s">
        <v>67</v>
      </c>
      <c r="W481" s="1000" t="s">
        <v>67</v>
      </c>
      <c r="X481" s="178" t="s">
        <v>3371</v>
      </c>
      <c r="Y481" s="170" t="s">
        <v>3267</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3733</v>
      </c>
      <c r="BZ481" s="1280"/>
      <c r="CA481" s="13"/>
      <c r="CB481" s="13"/>
      <c r="CC481" s="13"/>
      <c r="CD481" s="13"/>
      <c r="CE481" s="1246" t="s">
        <v>2094</v>
      </c>
      <c r="CF481" s="38"/>
    </row>
    <row r="482" spans="1:84" ht="116.25" hidden="1" customHeight="1">
      <c r="A482" s="1467"/>
      <c r="B482" s="22"/>
      <c r="C482" s="22"/>
      <c r="D482" s="22"/>
      <c r="E482" s="921"/>
      <c r="F482" s="921"/>
      <c r="G482" s="925"/>
      <c r="H482" s="1793"/>
      <c r="I482" s="331"/>
      <c r="J482" s="331"/>
      <c r="K482" s="169">
        <v>2020</v>
      </c>
      <c r="L482" s="1446">
        <v>205.28</v>
      </c>
      <c r="M482" s="1446"/>
      <c r="N482" s="170" t="s">
        <v>165</v>
      </c>
      <c r="O482" s="178" t="s">
        <v>3289</v>
      </c>
      <c r="P482" s="172" t="s">
        <v>45</v>
      </c>
      <c r="Q482" s="173" t="s">
        <v>3382</v>
      </c>
      <c r="R482" s="173" t="s">
        <v>1975</v>
      </c>
      <c r="S482" s="586">
        <f>8500*1.16</f>
        <v>9860</v>
      </c>
      <c r="T482" s="673">
        <v>44089</v>
      </c>
      <c r="U482" s="176" t="s">
        <v>67</v>
      </c>
      <c r="V482" s="177" t="s">
        <v>67</v>
      </c>
      <c r="W482" s="1000" t="s">
        <v>67</v>
      </c>
      <c r="X482" s="178" t="s">
        <v>3371</v>
      </c>
      <c r="Y482" s="170" t="s">
        <v>3267</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3733</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3290</v>
      </c>
      <c r="P483" s="789" t="s">
        <v>250</v>
      </c>
      <c r="Q483" s="1078" t="s">
        <v>3975</v>
      </c>
      <c r="R483" s="1078"/>
      <c r="S483" s="1079"/>
      <c r="T483" s="1081"/>
      <c r="U483" s="1081" t="s">
        <v>67</v>
      </c>
      <c r="V483" s="1082" t="s">
        <v>67</v>
      </c>
      <c r="W483" s="1083" t="s">
        <v>67</v>
      </c>
      <c r="X483" s="1077" t="s">
        <v>3371</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54"/>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93"/>
      <c r="I484" s="331"/>
      <c r="J484" s="331"/>
      <c r="K484" s="169">
        <v>2020</v>
      </c>
      <c r="L484" s="1446">
        <v>205.3</v>
      </c>
      <c r="M484" s="1446"/>
      <c r="N484" s="170" t="s">
        <v>165</v>
      </c>
      <c r="O484" s="178" t="s">
        <v>3291</v>
      </c>
      <c r="P484" s="172" t="s">
        <v>45</v>
      </c>
      <c r="Q484" s="173" t="s">
        <v>3383</v>
      </c>
      <c r="R484" s="173" t="s">
        <v>2515</v>
      </c>
      <c r="S484" s="586">
        <f>8000*1.16</f>
        <v>9280</v>
      </c>
      <c r="T484" s="673">
        <v>44089</v>
      </c>
      <c r="U484" s="176" t="s">
        <v>67</v>
      </c>
      <c r="V484" s="177" t="s">
        <v>67</v>
      </c>
      <c r="W484" s="1000" t="s">
        <v>67</v>
      </c>
      <c r="X484" s="178" t="s">
        <v>3371</v>
      </c>
      <c r="Y484" s="170" t="s">
        <v>3267</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3733</v>
      </c>
      <c r="BZ484" s="1280"/>
      <c r="CA484" s="13"/>
      <c r="CB484" s="13"/>
      <c r="CC484" s="13"/>
      <c r="CD484" s="13"/>
      <c r="CE484" s="1246" t="s">
        <v>2094</v>
      </c>
      <c r="CF484" s="38"/>
    </row>
    <row r="485" spans="1:84" ht="102.75" hidden="1" customHeight="1">
      <c r="A485" s="1467"/>
      <c r="B485" s="22"/>
      <c r="C485" s="22"/>
      <c r="D485" s="22"/>
      <c r="E485" s="921"/>
      <c r="F485" s="921"/>
      <c r="G485" s="925"/>
      <c r="H485" s="1793"/>
      <c r="I485" s="331"/>
      <c r="J485" s="331"/>
      <c r="K485" s="169">
        <v>2020</v>
      </c>
      <c r="L485" s="1446">
        <v>205.31</v>
      </c>
      <c r="M485" s="1446"/>
      <c r="N485" s="170" t="s">
        <v>165</v>
      </c>
      <c r="O485" s="178" t="s">
        <v>3292</v>
      </c>
      <c r="P485" s="172" t="s">
        <v>45</v>
      </c>
      <c r="Q485" s="173" t="s">
        <v>3384</v>
      </c>
      <c r="R485" s="173" t="s">
        <v>4413</v>
      </c>
      <c r="S485" s="586">
        <f>4500*1.16</f>
        <v>5220</v>
      </c>
      <c r="T485" s="673">
        <v>44089</v>
      </c>
      <c r="U485" s="176" t="s">
        <v>67</v>
      </c>
      <c r="V485" s="177" t="s">
        <v>67</v>
      </c>
      <c r="W485" s="1000" t="s">
        <v>67</v>
      </c>
      <c r="X485" s="178" t="s">
        <v>3371</v>
      </c>
      <c r="Y485" s="170" t="s">
        <v>3267</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3733</v>
      </c>
      <c r="BZ485" s="1280"/>
      <c r="CA485" s="13"/>
      <c r="CB485" s="13"/>
      <c r="CC485" s="13"/>
      <c r="CD485" s="13"/>
      <c r="CE485" s="1246" t="s">
        <v>2094</v>
      </c>
      <c r="CF485" s="38"/>
    </row>
    <row r="486" spans="1:84" ht="109.5" hidden="1" customHeight="1">
      <c r="A486" s="1467"/>
      <c r="B486" s="22"/>
      <c r="C486" s="22"/>
      <c r="D486" s="22"/>
      <c r="E486" s="921"/>
      <c r="F486" s="921"/>
      <c r="G486" s="925"/>
      <c r="H486" s="1793"/>
      <c r="I486" s="331"/>
      <c r="J486" s="331"/>
      <c r="K486" s="169">
        <v>2020</v>
      </c>
      <c r="L486" s="1446">
        <v>205.32</v>
      </c>
      <c r="M486" s="1446"/>
      <c r="N486" s="170" t="s">
        <v>165</v>
      </c>
      <c r="O486" s="178" t="s">
        <v>3293</v>
      </c>
      <c r="P486" s="172" t="s">
        <v>45</v>
      </c>
      <c r="Q486" s="173" t="s">
        <v>3385</v>
      </c>
      <c r="R486" s="173" t="s">
        <v>1975</v>
      </c>
      <c r="S486" s="586">
        <f>8500*1.16</f>
        <v>9860</v>
      </c>
      <c r="T486" s="673">
        <v>44089</v>
      </c>
      <c r="U486" s="176" t="s">
        <v>67</v>
      </c>
      <c r="V486" s="177" t="s">
        <v>67</v>
      </c>
      <c r="W486" s="1000" t="s">
        <v>67</v>
      </c>
      <c r="X486" s="178" t="s">
        <v>3371</v>
      </c>
      <c r="Y486" s="170" t="s">
        <v>3267</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3733</v>
      </c>
      <c r="BZ486" s="1280"/>
      <c r="CA486" s="13"/>
      <c r="CB486" s="13"/>
      <c r="CC486" s="13"/>
      <c r="CD486" s="13"/>
      <c r="CE486" s="1246" t="s">
        <v>2094</v>
      </c>
      <c r="CF486" s="38"/>
    </row>
    <row r="487" spans="1:84" ht="93" hidden="1" customHeight="1">
      <c r="A487" s="1467"/>
      <c r="B487" s="22"/>
      <c r="C487" s="22"/>
      <c r="D487" s="22"/>
      <c r="E487" s="921"/>
      <c r="F487" s="921"/>
      <c r="G487" s="925"/>
      <c r="H487" s="1793"/>
      <c r="I487" s="331"/>
      <c r="J487" s="331"/>
      <c r="K487" s="169">
        <v>2020</v>
      </c>
      <c r="L487" s="1446">
        <v>205.33</v>
      </c>
      <c r="M487" s="1446"/>
      <c r="N487" s="170" t="s">
        <v>165</v>
      </c>
      <c r="O487" s="178" t="s">
        <v>3379</v>
      </c>
      <c r="P487" s="172" t="s">
        <v>45</v>
      </c>
      <c r="Q487" s="173" t="s">
        <v>3386</v>
      </c>
      <c r="R487" s="173" t="s">
        <v>1975</v>
      </c>
      <c r="S487" s="586">
        <f>3500*1.16</f>
        <v>4059.9999999999995</v>
      </c>
      <c r="T487" s="673">
        <v>44089</v>
      </c>
      <c r="U487" s="176" t="s">
        <v>67</v>
      </c>
      <c r="V487" s="177" t="s">
        <v>67</v>
      </c>
      <c r="W487" s="1000" t="s">
        <v>67</v>
      </c>
      <c r="X487" s="178" t="s">
        <v>3371</v>
      </c>
      <c r="Y487" s="170" t="s">
        <v>3267</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3733</v>
      </c>
      <c r="BZ487" s="1280"/>
      <c r="CA487" s="13"/>
      <c r="CB487" s="13"/>
      <c r="CC487" s="13"/>
      <c r="CD487" s="13"/>
      <c r="CE487" s="1246" t="s">
        <v>2094</v>
      </c>
      <c r="CF487" s="38"/>
    </row>
    <row r="488" spans="1:84" ht="78" hidden="1" customHeight="1">
      <c r="A488" s="1467"/>
      <c r="B488" s="22"/>
      <c r="C488" s="22"/>
      <c r="D488" s="22"/>
      <c r="E488" s="921">
        <v>44075</v>
      </c>
      <c r="F488" s="921"/>
      <c r="G488" s="925"/>
      <c r="H488" s="1793"/>
      <c r="I488" s="331">
        <v>43985</v>
      </c>
      <c r="J488" s="331"/>
      <c r="K488" s="169">
        <v>2020</v>
      </c>
      <c r="L488" s="1446">
        <v>206.01</v>
      </c>
      <c r="M488" s="1446"/>
      <c r="N488" s="170" t="s">
        <v>165</v>
      </c>
      <c r="O488" s="178" t="s">
        <v>2737</v>
      </c>
      <c r="P488" s="172" t="s">
        <v>78</v>
      </c>
      <c r="Q488" s="173" t="s">
        <v>2801</v>
      </c>
      <c r="R488" s="173" t="s">
        <v>1975</v>
      </c>
      <c r="S488" s="586">
        <v>156714.98000000001</v>
      </c>
      <c r="T488" s="176">
        <v>43894</v>
      </c>
      <c r="U488" s="176">
        <v>43894</v>
      </c>
      <c r="V488" s="177">
        <v>43960</v>
      </c>
      <c r="W488" s="105">
        <v>43892</v>
      </c>
      <c r="X488" s="178" t="s">
        <v>6587</v>
      </c>
      <c r="Y488" s="1067" t="s">
        <v>983</v>
      </c>
      <c r="Z488" s="201" t="s">
        <v>67</v>
      </c>
      <c r="AA488" s="369"/>
      <c r="AB488" s="242" t="s">
        <v>2816</v>
      </c>
      <c r="AC488" s="8">
        <v>43884</v>
      </c>
      <c r="AD488" s="4">
        <v>160069.69</v>
      </c>
      <c r="AE488" s="4"/>
      <c r="AF488" s="32"/>
      <c r="AG488" s="34" t="s">
        <v>67</v>
      </c>
      <c r="AH488" s="112" t="s">
        <v>67</v>
      </c>
      <c r="AI488" s="112" t="s">
        <v>67</v>
      </c>
      <c r="AJ488" s="7" t="s">
        <v>67</v>
      </c>
      <c r="AK488" s="109" t="s">
        <v>67</v>
      </c>
      <c r="AL488" s="242" t="s">
        <v>2818</v>
      </c>
      <c r="AM488" s="1" t="s">
        <v>67</v>
      </c>
      <c r="AN488" s="5"/>
      <c r="AO488" s="1" t="s">
        <v>2817</v>
      </c>
      <c r="AP488" s="5">
        <v>43892</v>
      </c>
      <c r="AQ488" s="1" t="s">
        <v>2819</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52"/>
      <c r="BG488" s="5">
        <v>43894</v>
      </c>
      <c r="BH488" s="5">
        <v>43960</v>
      </c>
      <c r="BI488" s="5">
        <v>43923</v>
      </c>
      <c r="BJ488" s="36">
        <f t="shared" ref="BJ488:BJ494" si="15">AT488+AU488</f>
        <v>156609.66</v>
      </c>
      <c r="BK488" s="378">
        <v>43923</v>
      </c>
      <c r="BL488" s="1908"/>
      <c r="BM488" s="1049">
        <v>43893</v>
      </c>
      <c r="BN488" s="326">
        <v>43910</v>
      </c>
      <c r="BO488" s="326">
        <v>43910</v>
      </c>
      <c r="BP488" s="1112"/>
      <c r="BQ488" s="1112"/>
      <c r="BR488" s="1112"/>
      <c r="BS488" s="924"/>
      <c r="BT488" s="1112">
        <v>43920</v>
      </c>
      <c r="BU488" s="1112"/>
      <c r="BV488" s="1113">
        <v>43920</v>
      </c>
      <c r="BW488" s="1114" t="s">
        <v>2820</v>
      </c>
      <c r="BX488" s="13"/>
      <c r="BY488" s="1337" t="s">
        <v>3557</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93"/>
      <c r="I489" s="331">
        <v>43985</v>
      </c>
      <c r="J489" s="331"/>
      <c r="K489" s="169">
        <v>2020</v>
      </c>
      <c r="L489" s="1446">
        <v>206.02</v>
      </c>
      <c r="M489" s="1446"/>
      <c r="N489" s="170" t="s">
        <v>76</v>
      </c>
      <c r="O489" s="178" t="s">
        <v>2738</v>
      </c>
      <c r="P489" s="172" t="s">
        <v>78</v>
      </c>
      <c r="Q489" s="173" t="s">
        <v>2747</v>
      </c>
      <c r="R489" s="173" t="s">
        <v>2541</v>
      </c>
      <c r="S489" s="174">
        <v>654632.78</v>
      </c>
      <c r="T489" s="176">
        <v>43936</v>
      </c>
      <c r="U489" s="176">
        <v>43937</v>
      </c>
      <c r="V489" s="177">
        <v>43958</v>
      </c>
      <c r="W489" s="105">
        <v>43934</v>
      </c>
      <c r="X489" s="178" t="s">
        <v>1267</v>
      </c>
      <c r="Y489" s="170" t="s">
        <v>3050</v>
      </c>
      <c r="Z489" s="201">
        <v>44335</v>
      </c>
      <c r="AA489" s="369"/>
      <c r="AB489" s="242" t="s">
        <v>2812</v>
      </c>
      <c r="AC489" s="8">
        <v>43923</v>
      </c>
      <c r="AD489" s="4">
        <v>665287.4</v>
      </c>
      <c r="AE489" s="4"/>
      <c r="AF489" s="32"/>
      <c r="AG489" s="34" t="s">
        <v>67</v>
      </c>
      <c r="AH489" s="112" t="s">
        <v>67</v>
      </c>
      <c r="AI489" s="112" t="s">
        <v>67</v>
      </c>
      <c r="AJ489" s="7" t="s">
        <v>67</v>
      </c>
      <c r="AK489" s="109" t="s">
        <v>67</v>
      </c>
      <c r="AL489" s="33" t="s">
        <v>2917</v>
      </c>
      <c r="AM489" s="1" t="s">
        <v>67</v>
      </c>
      <c r="AN489" s="5"/>
      <c r="AO489" s="1" t="s">
        <v>2815</v>
      </c>
      <c r="AP489" s="5">
        <v>43936</v>
      </c>
      <c r="AQ489" s="2" t="s">
        <v>2916</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52"/>
      <c r="BG489" s="5">
        <v>43937</v>
      </c>
      <c r="BH489" s="5">
        <v>43958</v>
      </c>
      <c r="BI489" s="5">
        <v>43958</v>
      </c>
      <c r="BJ489" s="36">
        <f t="shared" si="15"/>
        <v>685944.29</v>
      </c>
      <c r="BK489" s="378">
        <v>44007</v>
      </c>
      <c r="BL489" s="1908"/>
      <c r="BM489" s="1049">
        <v>43936</v>
      </c>
      <c r="BN489" s="1134"/>
      <c r="BO489" s="326">
        <v>43936</v>
      </c>
      <c r="BP489" s="1472"/>
      <c r="BQ489" s="1472"/>
      <c r="BR489" s="1472"/>
      <c r="BS489" s="924"/>
      <c r="BT489" s="1112">
        <v>43956</v>
      </c>
      <c r="BU489" s="1472"/>
      <c r="BV489" s="924">
        <v>43949</v>
      </c>
      <c r="BW489" s="685"/>
      <c r="BX489" s="13"/>
      <c r="BY489" s="1280" t="s">
        <v>3733</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93"/>
      <c r="I490" s="331">
        <v>43985</v>
      </c>
      <c r="J490" s="331"/>
      <c r="K490" s="169">
        <v>2020</v>
      </c>
      <c r="L490" s="1446">
        <v>206.03</v>
      </c>
      <c r="M490" s="1446"/>
      <c r="N490" s="170" t="s">
        <v>76</v>
      </c>
      <c r="O490" s="178" t="s">
        <v>2739</v>
      </c>
      <c r="P490" s="172" t="s">
        <v>78</v>
      </c>
      <c r="Q490" s="173" t="s">
        <v>2748</v>
      </c>
      <c r="R490" s="173" t="s">
        <v>2580</v>
      </c>
      <c r="S490" s="174">
        <v>248927.96</v>
      </c>
      <c r="T490" s="176">
        <v>43948</v>
      </c>
      <c r="U490" s="176">
        <v>43949</v>
      </c>
      <c r="V490" s="177">
        <v>43980</v>
      </c>
      <c r="W490" s="105">
        <v>43945</v>
      </c>
      <c r="X490" s="1066" t="s">
        <v>3041</v>
      </c>
      <c r="Y490" s="1067" t="s">
        <v>983</v>
      </c>
      <c r="Z490" s="1115">
        <v>43976</v>
      </c>
      <c r="AA490" s="1413"/>
      <c r="AB490" s="242" t="s">
        <v>2813</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2845</v>
      </c>
      <c r="BD490" s="11">
        <v>43980</v>
      </c>
      <c r="BE490" s="226">
        <v>43983</v>
      </c>
      <c r="BF490" s="1652"/>
      <c r="BG490" s="5">
        <v>43949</v>
      </c>
      <c r="BH490" s="5">
        <v>43980</v>
      </c>
      <c r="BI490" s="5">
        <v>43980</v>
      </c>
      <c r="BJ490" s="36">
        <f t="shared" si="15"/>
        <v>255753.06</v>
      </c>
      <c r="BK490" s="378">
        <v>43953</v>
      </c>
      <c r="BL490" s="1908"/>
      <c r="BM490" s="1049">
        <v>43945</v>
      </c>
      <c r="BN490" s="326">
        <v>43963</v>
      </c>
      <c r="BO490" s="326">
        <v>43963</v>
      </c>
      <c r="BP490" s="1112"/>
      <c r="BQ490" s="1112"/>
      <c r="BR490" s="1112"/>
      <c r="BS490" s="924"/>
      <c r="BT490" s="1112">
        <v>43977</v>
      </c>
      <c r="BU490" s="1112"/>
      <c r="BV490" s="924">
        <v>43971</v>
      </c>
      <c r="BW490" s="685"/>
      <c r="BX490" s="13"/>
      <c r="BY490" s="1280" t="s">
        <v>3733</v>
      </c>
      <c r="BZ490" s="1280"/>
      <c r="CA490" s="158" t="s">
        <v>3573</v>
      </c>
      <c r="CB490" s="158" t="s">
        <v>3573</v>
      </c>
      <c r="CC490" s="158" t="s">
        <v>3551</v>
      </c>
      <c r="CD490" s="158"/>
      <c r="CE490" s="1246" t="s">
        <v>2094</v>
      </c>
      <c r="CF490" s="38"/>
    </row>
    <row r="491" spans="1:84" ht="96.75" hidden="1" customHeight="1">
      <c r="A491" s="1467"/>
      <c r="B491" s="22"/>
      <c r="C491" s="22"/>
      <c r="D491" s="22"/>
      <c r="E491" s="921">
        <v>44075</v>
      </c>
      <c r="F491" s="921"/>
      <c r="G491" s="925">
        <v>44285</v>
      </c>
      <c r="H491" s="1793"/>
      <c r="I491" s="331">
        <v>44017</v>
      </c>
      <c r="J491" s="331"/>
      <c r="K491" s="169">
        <v>2020</v>
      </c>
      <c r="L491" s="1446">
        <v>206.04</v>
      </c>
      <c r="M491" s="1446"/>
      <c r="N491" s="170" t="s">
        <v>76</v>
      </c>
      <c r="O491" s="178" t="s">
        <v>2740</v>
      </c>
      <c r="P491" s="172" t="s">
        <v>78</v>
      </c>
      <c r="Q491" s="173" t="s">
        <v>2806</v>
      </c>
      <c r="R491" s="173" t="s">
        <v>1975</v>
      </c>
      <c r="S491" s="586">
        <v>1010980.5</v>
      </c>
      <c r="T491" s="176">
        <v>43951</v>
      </c>
      <c r="U491" s="176">
        <v>43962</v>
      </c>
      <c r="V491" s="177">
        <v>44054</v>
      </c>
      <c r="W491" s="105">
        <v>43950</v>
      </c>
      <c r="X491" s="178" t="s">
        <v>2807</v>
      </c>
      <c r="Y491" s="1067" t="s">
        <v>212</v>
      </c>
      <c r="Z491" s="462" t="s">
        <v>73</v>
      </c>
      <c r="AA491" s="1400"/>
      <c r="AB491" s="242" t="s">
        <v>2811</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52"/>
      <c r="BG491" s="5">
        <v>43962</v>
      </c>
      <c r="BH491" s="5">
        <v>44054</v>
      </c>
      <c r="BI491" s="5">
        <v>43995</v>
      </c>
      <c r="BJ491" s="36">
        <f t="shared" si="15"/>
        <v>966143.58</v>
      </c>
      <c r="BK491" s="378">
        <v>43997</v>
      </c>
      <c r="BL491" s="1908"/>
      <c r="BM491" s="1049">
        <v>43951</v>
      </c>
      <c r="BN491" s="326">
        <v>43962</v>
      </c>
      <c r="BO491" s="326">
        <v>43962</v>
      </c>
      <c r="BP491" s="1112"/>
      <c r="BQ491" s="1112"/>
      <c r="BR491" s="1112"/>
      <c r="BS491" s="924"/>
      <c r="BT491" s="1112">
        <v>43990</v>
      </c>
      <c r="BU491" s="1112"/>
      <c r="BV491" s="687"/>
      <c r="BW491" s="685"/>
      <c r="BX491" s="13"/>
      <c r="BY491" s="1104" t="s">
        <v>3594</v>
      </c>
      <c r="BZ491" s="1104"/>
      <c r="CA491" s="13" t="s">
        <v>1294</v>
      </c>
      <c r="CB491" s="158" t="s">
        <v>3573</v>
      </c>
      <c r="CC491" s="1104" t="s">
        <v>3595</v>
      </c>
      <c r="CD491" s="1104"/>
      <c r="CE491" s="1246" t="s">
        <v>2094</v>
      </c>
      <c r="CF491" s="38"/>
    </row>
    <row r="492" spans="1:84" ht="93.75" hidden="1" customHeight="1">
      <c r="A492" s="1467"/>
      <c r="B492" s="22"/>
      <c r="C492" s="22"/>
      <c r="D492" s="22"/>
      <c r="E492" s="921">
        <v>44075</v>
      </c>
      <c r="F492" s="921"/>
      <c r="G492" s="925">
        <v>44291</v>
      </c>
      <c r="H492" s="1793"/>
      <c r="I492" s="331">
        <v>43985</v>
      </c>
      <c r="J492" s="331"/>
      <c r="K492" s="169">
        <v>2020</v>
      </c>
      <c r="L492" s="1446">
        <v>206.05</v>
      </c>
      <c r="M492" s="1446"/>
      <c r="N492" s="1067" t="s">
        <v>76</v>
      </c>
      <c r="O492" s="178" t="s">
        <v>2741</v>
      </c>
      <c r="P492" s="172" t="s">
        <v>78</v>
      </c>
      <c r="Q492" s="173" t="s">
        <v>2838</v>
      </c>
      <c r="R492" s="173" t="s">
        <v>2580</v>
      </c>
      <c r="S492" s="174">
        <v>125624.96000000001</v>
      </c>
      <c r="T492" s="176">
        <v>43948</v>
      </c>
      <c r="U492" s="176">
        <v>43949</v>
      </c>
      <c r="V492" s="177">
        <v>43980</v>
      </c>
      <c r="W492" s="1000">
        <v>43945</v>
      </c>
      <c r="X492" s="1066" t="s">
        <v>2814</v>
      </c>
      <c r="Y492" s="1067" t="s">
        <v>983</v>
      </c>
      <c r="Z492" s="1115">
        <v>43976</v>
      </c>
      <c r="AA492" s="1413"/>
      <c r="AB492" s="242" t="s">
        <v>2846</v>
      </c>
      <c r="AC492" s="543">
        <v>43972</v>
      </c>
      <c r="AD492" s="4">
        <v>127065.7</v>
      </c>
      <c r="AE492" s="4"/>
      <c r="AF492" s="32"/>
      <c r="AG492" s="34" t="s">
        <v>67</v>
      </c>
      <c r="AH492" s="112" t="s">
        <v>67</v>
      </c>
      <c r="AI492" s="112" t="s">
        <v>67</v>
      </c>
      <c r="AJ492" s="7" t="s">
        <v>67</v>
      </c>
      <c r="AK492" s="109" t="s">
        <v>67</v>
      </c>
      <c r="AL492" s="242" t="s">
        <v>2847</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52"/>
      <c r="BG492" s="5">
        <v>43949</v>
      </c>
      <c r="BH492" s="5">
        <v>43980</v>
      </c>
      <c r="BI492" s="5">
        <v>43977</v>
      </c>
      <c r="BJ492" s="36">
        <f t="shared" si="15"/>
        <v>133293.67000000001</v>
      </c>
      <c r="BK492" s="378">
        <v>43980</v>
      </c>
      <c r="BL492" s="1908"/>
      <c r="BM492" s="1049">
        <v>43945</v>
      </c>
      <c r="BN492" s="326">
        <v>43948</v>
      </c>
      <c r="BO492" s="326">
        <v>43948</v>
      </c>
      <c r="BP492" s="1112"/>
      <c r="BQ492" s="1112"/>
      <c r="BR492" s="1112"/>
      <c r="BS492" s="924"/>
      <c r="BT492" s="1112">
        <v>43976</v>
      </c>
      <c r="BU492" s="1112"/>
      <c r="BV492" s="924">
        <v>43973</v>
      </c>
      <c r="BW492" s="685"/>
      <c r="BX492" s="13"/>
      <c r="BY492" s="1280" t="s">
        <v>3733</v>
      </c>
      <c r="BZ492" s="1280"/>
      <c r="CA492" s="158" t="s">
        <v>3573</v>
      </c>
      <c r="CB492" s="158" t="s">
        <v>3573</v>
      </c>
      <c r="CC492" s="158" t="s">
        <v>3546</v>
      </c>
      <c r="CD492" s="158"/>
      <c r="CE492" s="1246" t="s">
        <v>2094</v>
      </c>
      <c r="CF492" s="38"/>
    </row>
    <row r="493" spans="1:84" ht="119.25" hidden="1" customHeight="1">
      <c r="A493" s="1467"/>
      <c r="B493" s="22"/>
      <c r="C493" s="22"/>
      <c r="D493" s="22"/>
      <c r="E493" s="921">
        <v>44075</v>
      </c>
      <c r="F493" s="921"/>
      <c r="G493" s="925">
        <v>44286</v>
      </c>
      <c r="H493" s="1793"/>
      <c r="I493" s="331">
        <v>43985</v>
      </c>
      <c r="J493" s="331"/>
      <c r="K493" s="169">
        <v>2020</v>
      </c>
      <c r="L493" s="1446">
        <v>206.06</v>
      </c>
      <c r="M493" s="1446"/>
      <c r="N493" s="170" t="s">
        <v>76</v>
      </c>
      <c r="O493" s="178" t="s">
        <v>2742</v>
      </c>
      <c r="P493" s="172" t="s">
        <v>78</v>
      </c>
      <c r="Q493" s="173" t="s">
        <v>2821</v>
      </c>
      <c r="R493" s="173" t="s">
        <v>1975</v>
      </c>
      <c r="S493" s="174">
        <v>965741.4</v>
      </c>
      <c r="T493" s="176">
        <v>43977</v>
      </c>
      <c r="U493" s="176">
        <v>43984</v>
      </c>
      <c r="V493" s="177">
        <v>44040</v>
      </c>
      <c r="W493" s="105">
        <v>43976</v>
      </c>
      <c r="X493" s="178" t="s">
        <v>2822</v>
      </c>
      <c r="Y493" s="170" t="s">
        <v>448</v>
      </c>
      <c r="Z493" s="201">
        <v>43973</v>
      </c>
      <c r="AA493" s="369"/>
      <c r="AB493" s="33" t="s">
        <v>2908</v>
      </c>
      <c r="AC493" s="8">
        <v>43972</v>
      </c>
      <c r="AD493" s="4">
        <f>216010.26+127177.52+616699.1</f>
        <v>959886.88</v>
      </c>
      <c r="AE493" s="4"/>
      <c r="AF493" s="32"/>
      <c r="AG493" s="34" t="s">
        <v>67</v>
      </c>
      <c r="AH493" s="112" t="s">
        <v>67</v>
      </c>
      <c r="AI493" s="112" t="s">
        <v>67</v>
      </c>
      <c r="AJ493" s="7" t="s">
        <v>67</v>
      </c>
      <c r="AK493" s="109" t="s">
        <v>67</v>
      </c>
      <c r="AL493" s="33" t="s">
        <v>3576</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3570</v>
      </c>
      <c r="BZ493" s="1279"/>
      <c r="CA493" s="158" t="s">
        <v>1294</v>
      </c>
      <c r="CB493" s="158" t="s">
        <v>1294</v>
      </c>
      <c r="CC493" s="158" t="s">
        <v>3551</v>
      </c>
      <c r="CD493" s="158"/>
      <c r="CE493" s="1246" t="s">
        <v>2094</v>
      </c>
      <c r="CF493" s="578" t="s">
        <v>1142</v>
      </c>
    </row>
    <row r="494" spans="1:84" ht="104.25" hidden="1" customHeight="1">
      <c r="A494" s="1467"/>
      <c r="B494" s="22"/>
      <c r="C494" s="22"/>
      <c r="D494" s="22"/>
      <c r="E494" s="921">
        <v>44075</v>
      </c>
      <c r="F494" s="921"/>
      <c r="G494" s="925">
        <v>44286</v>
      </c>
      <c r="H494" s="1793"/>
      <c r="I494" s="331">
        <v>43985</v>
      </c>
      <c r="J494" s="331"/>
      <c r="K494" s="169">
        <v>2020</v>
      </c>
      <c r="L494" s="1446">
        <v>206.07</v>
      </c>
      <c r="M494" s="1446"/>
      <c r="N494" s="170" t="s">
        <v>76</v>
      </c>
      <c r="O494" s="178" t="s">
        <v>2743</v>
      </c>
      <c r="P494" s="172" t="s">
        <v>78</v>
      </c>
      <c r="Q494" s="173" t="s">
        <v>2827</v>
      </c>
      <c r="R494" s="173" t="s">
        <v>1975</v>
      </c>
      <c r="S494" s="174">
        <v>334158.86</v>
      </c>
      <c r="T494" s="176">
        <v>43977</v>
      </c>
      <c r="U494" s="176">
        <v>43984</v>
      </c>
      <c r="V494" s="177">
        <v>44040</v>
      </c>
      <c r="W494" s="105">
        <v>43976</v>
      </c>
      <c r="X494" s="178" t="s">
        <v>2822</v>
      </c>
      <c r="Y494" s="170" t="s">
        <v>448</v>
      </c>
      <c r="Z494" s="201">
        <v>43973</v>
      </c>
      <c r="AA494" s="369"/>
      <c r="AB494" s="33" t="s">
        <v>2909</v>
      </c>
      <c r="AC494" s="8">
        <v>43972</v>
      </c>
      <c r="AD494" s="4">
        <f>110984.55+61216.15+154114.22</f>
        <v>326314.92000000004</v>
      </c>
      <c r="AE494" s="4"/>
      <c r="AF494" s="32"/>
      <c r="AG494" s="34" t="s">
        <v>67</v>
      </c>
      <c r="AH494" s="112" t="s">
        <v>67</v>
      </c>
      <c r="AI494" s="112" t="s">
        <v>67</v>
      </c>
      <c r="AJ494" s="7" t="s">
        <v>67</v>
      </c>
      <c r="AK494" s="109" t="s">
        <v>67</v>
      </c>
      <c r="AL494" s="33" t="s">
        <v>3574</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3570</v>
      </c>
      <c r="BZ494" s="1278"/>
      <c r="CA494" s="158" t="s">
        <v>3545</v>
      </c>
      <c r="CB494" s="158" t="s">
        <v>3545</v>
      </c>
      <c r="CC494" s="158" t="s">
        <v>3546</v>
      </c>
      <c r="CD494" s="158"/>
      <c r="CE494" s="1246" t="s">
        <v>2094</v>
      </c>
      <c r="CF494" s="578" t="s">
        <v>1142</v>
      </c>
    </row>
    <row r="495" spans="1:84" ht="114" hidden="1" customHeight="1">
      <c r="A495" s="1467"/>
      <c r="B495" s="22"/>
      <c r="C495" s="22"/>
      <c r="D495" s="22"/>
      <c r="E495" s="921">
        <v>44075</v>
      </c>
      <c r="F495" s="921"/>
      <c r="G495" s="925">
        <v>44291</v>
      </c>
      <c r="H495" s="1793"/>
      <c r="I495" s="331">
        <v>44017</v>
      </c>
      <c r="J495" s="331"/>
      <c r="K495" s="169">
        <v>2020</v>
      </c>
      <c r="L495" s="1446">
        <v>206.08</v>
      </c>
      <c r="M495" s="1446"/>
      <c r="N495" s="170" t="s">
        <v>76</v>
      </c>
      <c r="O495" s="178" t="s">
        <v>2744</v>
      </c>
      <c r="P495" s="172" t="s">
        <v>78</v>
      </c>
      <c r="Q495" s="173" t="s">
        <v>2849</v>
      </c>
      <c r="R495" s="173" t="s">
        <v>2541</v>
      </c>
      <c r="S495" s="174">
        <v>755011.1</v>
      </c>
      <c r="T495" s="176">
        <v>43977</v>
      </c>
      <c r="U495" s="176">
        <v>43984</v>
      </c>
      <c r="V495" s="177">
        <v>44037</v>
      </c>
      <c r="W495" s="105">
        <v>43976</v>
      </c>
      <c r="X495" s="178" t="s">
        <v>2850</v>
      </c>
      <c r="Y495" s="170" t="s">
        <v>3050</v>
      </c>
      <c r="Z495" s="201">
        <v>43982</v>
      </c>
      <c r="AA495" s="369"/>
      <c r="AB495" s="33" t="s">
        <v>3009</v>
      </c>
      <c r="AC495" s="8">
        <v>43972</v>
      </c>
      <c r="AD495" s="4">
        <v>756194.44</v>
      </c>
      <c r="AE495" s="4"/>
      <c r="AF495" s="32"/>
      <c r="AG495" s="34" t="s">
        <v>67</v>
      </c>
      <c r="AH495" s="112" t="s">
        <v>67</v>
      </c>
      <c r="AI495" s="112" t="s">
        <v>67</v>
      </c>
      <c r="AJ495" s="7" t="s">
        <v>67</v>
      </c>
      <c r="AK495" s="109" t="s">
        <v>67</v>
      </c>
      <c r="AL495" s="33" t="s">
        <v>1010</v>
      </c>
      <c r="AM495" s="2" t="s">
        <v>3051</v>
      </c>
      <c r="AN495" s="5">
        <v>43977</v>
      </c>
      <c r="AO495" s="1" t="s">
        <v>3052</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3570</v>
      </c>
      <c r="BZ495" s="1333"/>
      <c r="CA495" s="158" t="s">
        <v>3545</v>
      </c>
      <c r="CB495" s="158" t="s">
        <v>3545</v>
      </c>
      <c r="CC495" s="158" t="s">
        <v>3585</v>
      </c>
      <c r="CD495" s="158"/>
      <c r="CE495" s="1246" t="s">
        <v>2094</v>
      </c>
      <c r="CF495" s="38"/>
    </row>
    <row r="496" spans="1:84" ht="95.25" hidden="1" customHeight="1">
      <c r="A496" s="1467"/>
      <c r="B496" s="22"/>
      <c r="C496" s="22"/>
      <c r="D496" s="22"/>
      <c r="E496" s="921">
        <v>44075</v>
      </c>
      <c r="F496" s="921"/>
      <c r="G496" s="925">
        <v>44267</v>
      </c>
      <c r="H496" s="1793"/>
      <c r="I496" s="331">
        <v>44017</v>
      </c>
      <c r="J496" s="331"/>
      <c r="K496" s="169">
        <v>2020</v>
      </c>
      <c r="L496" s="1446">
        <v>206.09</v>
      </c>
      <c r="M496" s="1446"/>
      <c r="N496" s="170" t="s">
        <v>76</v>
      </c>
      <c r="O496" s="178" t="s">
        <v>2745</v>
      </c>
      <c r="P496" s="172" t="s">
        <v>78</v>
      </c>
      <c r="Q496" s="173" t="s">
        <v>2865</v>
      </c>
      <c r="R496" s="173" t="s">
        <v>1975</v>
      </c>
      <c r="S496" s="174">
        <v>317000</v>
      </c>
      <c r="T496" s="176">
        <v>44005</v>
      </c>
      <c r="U496" s="176">
        <v>44032</v>
      </c>
      <c r="V496" s="177">
        <v>44063</v>
      </c>
      <c r="W496" s="105">
        <v>44004</v>
      </c>
      <c r="X496" s="178" t="s">
        <v>2854</v>
      </c>
      <c r="Y496" s="170" t="s">
        <v>1106</v>
      </c>
      <c r="Z496" s="201">
        <v>43982</v>
      </c>
      <c r="AA496" s="369"/>
      <c r="AB496" s="33" t="s">
        <v>2907</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3570</v>
      </c>
      <c r="BZ496" s="1279"/>
      <c r="CA496" s="158" t="s">
        <v>3573</v>
      </c>
      <c r="CB496" s="158" t="s">
        <v>3573</v>
      </c>
      <c r="CC496" s="158" t="s">
        <v>3551</v>
      </c>
      <c r="CD496" s="158"/>
      <c r="CE496" s="1246" t="s">
        <v>2094</v>
      </c>
      <c r="CF496" s="38"/>
    </row>
    <row r="497" spans="1:84" ht="97.5" hidden="1" customHeight="1">
      <c r="A497" s="1467"/>
      <c r="B497" s="22"/>
      <c r="C497" s="22"/>
      <c r="D497" s="22"/>
      <c r="E497" s="921">
        <v>44075</v>
      </c>
      <c r="F497" s="921"/>
      <c r="G497" s="925">
        <v>44286</v>
      </c>
      <c r="H497" s="1793"/>
      <c r="I497" s="331">
        <v>44080</v>
      </c>
      <c r="J497" s="331"/>
      <c r="K497" s="169">
        <v>2020</v>
      </c>
      <c r="L497" s="1446">
        <v>206.1</v>
      </c>
      <c r="M497" s="1446"/>
      <c r="N497" s="170" t="s">
        <v>76</v>
      </c>
      <c r="O497" s="178" t="s">
        <v>2746</v>
      </c>
      <c r="P497" s="172" t="s">
        <v>78</v>
      </c>
      <c r="Q497" s="173" t="s">
        <v>2833</v>
      </c>
      <c r="R497" s="173" t="s">
        <v>2541</v>
      </c>
      <c r="S497" s="174">
        <v>239360.13</v>
      </c>
      <c r="T497" s="176">
        <v>43974</v>
      </c>
      <c r="U497" s="176">
        <v>43976</v>
      </c>
      <c r="V497" s="177">
        <v>43983</v>
      </c>
      <c r="W497" s="105">
        <v>43973</v>
      </c>
      <c r="X497" s="178" t="s">
        <v>1267</v>
      </c>
      <c r="Y497" s="170" t="s">
        <v>3050</v>
      </c>
      <c r="Z497" s="201">
        <v>44335</v>
      </c>
      <c r="AA497" s="369"/>
      <c r="AB497" s="33" t="s">
        <v>2918</v>
      </c>
      <c r="AC497" s="8">
        <v>43972</v>
      </c>
      <c r="AD497" s="4">
        <v>239360.13</v>
      </c>
      <c r="AE497" s="4"/>
      <c r="AF497" s="32"/>
      <c r="AG497" s="34" t="s">
        <v>67</v>
      </c>
      <c r="AH497" s="112" t="s">
        <v>67</v>
      </c>
      <c r="AI497" s="112" t="s">
        <v>67</v>
      </c>
      <c r="AJ497" s="7" t="s">
        <v>67</v>
      </c>
      <c r="AK497" s="109" t="s">
        <v>67</v>
      </c>
      <c r="AL497" s="33" t="s">
        <v>2919</v>
      </c>
      <c r="AM497" s="1" t="s">
        <v>67</v>
      </c>
      <c r="AN497" s="5"/>
      <c r="AO497" s="1" t="s">
        <v>3053</v>
      </c>
      <c r="AP497" s="5">
        <v>43974</v>
      </c>
      <c r="AQ497" s="2" t="s">
        <v>2920</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908"/>
      <c r="BM497" s="337">
        <v>43975</v>
      </c>
      <c r="BN497" s="1134"/>
      <c r="BO497" s="1134"/>
      <c r="BP497" s="1277"/>
      <c r="BQ497" s="1277"/>
      <c r="BR497" s="1277"/>
      <c r="BS497" s="924"/>
      <c r="BT497" s="1277"/>
      <c r="BU497" s="1277"/>
      <c r="BV497" s="687"/>
      <c r="BW497" s="685"/>
      <c r="BX497" s="13"/>
      <c r="BY497" s="1280" t="s">
        <v>3733</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93"/>
      <c r="I498" s="331">
        <v>44080</v>
      </c>
      <c r="J498" s="331"/>
      <c r="K498" s="169">
        <v>2020</v>
      </c>
      <c r="L498" s="1446">
        <v>206.11</v>
      </c>
      <c r="M498" s="1446"/>
      <c r="N498" s="170" t="s">
        <v>165</v>
      </c>
      <c r="O498" s="178" t="s">
        <v>2828</v>
      </c>
      <c r="P498" s="172" t="s">
        <v>78</v>
      </c>
      <c r="Q498" s="173" t="s">
        <v>2834</v>
      </c>
      <c r="R498" s="173" t="s">
        <v>2541</v>
      </c>
      <c r="S498" s="174">
        <v>410553.76</v>
      </c>
      <c r="T498" s="176">
        <v>43978</v>
      </c>
      <c r="U498" s="176">
        <v>43952</v>
      </c>
      <c r="V498" s="177">
        <v>43987</v>
      </c>
      <c r="W498" s="105">
        <v>43977</v>
      </c>
      <c r="X498" s="178" t="s">
        <v>1267</v>
      </c>
      <c r="Y498" s="170" t="s">
        <v>3050</v>
      </c>
      <c r="Z498" s="201" t="s">
        <v>1427</v>
      </c>
      <c r="AA498" s="369"/>
      <c r="AB498" s="33" t="s">
        <v>2921</v>
      </c>
      <c r="AC498" s="8">
        <v>43972</v>
      </c>
      <c r="AD498" s="4">
        <v>410553.76</v>
      </c>
      <c r="AE498" s="4"/>
      <c r="AF498" s="32"/>
      <c r="AG498" s="34" t="s">
        <v>67</v>
      </c>
      <c r="AH498" s="112" t="s">
        <v>67</v>
      </c>
      <c r="AI498" s="112" t="s">
        <v>67</v>
      </c>
      <c r="AJ498" s="7" t="s">
        <v>67</v>
      </c>
      <c r="AK498" s="109" t="s">
        <v>67</v>
      </c>
      <c r="AL498" s="33" t="s">
        <v>2919</v>
      </c>
      <c r="AM498" s="1" t="s">
        <v>67</v>
      </c>
      <c r="AN498" s="5"/>
      <c r="AO498" s="1" t="s">
        <v>3592</v>
      </c>
      <c r="AP498" s="5">
        <v>43977</v>
      </c>
      <c r="AQ498" s="1" t="s">
        <v>3593</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3733</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93"/>
      <c r="I499" s="331">
        <v>44080</v>
      </c>
      <c r="J499" s="331"/>
      <c r="K499" s="169">
        <v>2020</v>
      </c>
      <c r="L499" s="1446">
        <v>206.12</v>
      </c>
      <c r="M499" s="1446"/>
      <c r="N499" s="170" t="s">
        <v>76</v>
      </c>
      <c r="O499" s="178" t="s">
        <v>2829</v>
      </c>
      <c r="P499" s="172" t="s">
        <v>78</v>
      </c>
      <c r="Q499" s="173" t="s">
        <v>2851</v>
      </c>
      <c r="R499" s="173" t="s">
        <v>1975</v>
      </c>
      <c r="S499" s="174">
        <v>1306545.6299999999</v>
      </c>
      <c r="T499" s="176">
        <v>43987</v>
      </c>
      <c r="U499" s="176">
        <v>43990</v>
      </c>
      <c r="V499" s="177">
        <v>44057</v>
      </c>
      <c r="W499" s="105">
        <v>43986</v>
      </c>
      <c r="X499" s="178" t="s">
        <v>2852</v>
      </c>
      <c r="Y499" s="170" t="s">
        <v>448</v>
      </c>
      <c r="Z499" s="600">
        <v>43998</v>
      </c>
      <c r="AA499" s="1402"/>
      <c r="AB499" s="33" t="s">
        <v>2910</v>
      </c>
      <c r="AC499" s="8">
        <v>43972</v>
      </c>
      <c r="AD499" s="4">
        <f>314566.67+147393.11+877535.55</f>
        <v>1339495.33</v>
      </c>
      <c r="AE499" s="4"/>
      <c r="AF499" s="32"/>
      <c r="AG499" s="34" t="s">
        <v>67</v>
      </c>
      <c r="AH499" s="112" t="s">
        <v>67</v>
      </c>
      <c r="AI499" s="112" t="s">
        <v>67</v>
      </c>
      <c r="AJ499" s="7" t="s">
        <v>67</v>
      </c>
      <c r="AK499" s="109" t="s">
        <v>67</v>
      </c>
      <c r="AL499" s="33" t="s">
        <v>3558</v>
      </c>
      <c r="AM499" s="1" t="s">
        <v>3559</v>
      </c>
      <c r="AN499" s="5">
        <v>43990</v>
      </c>
      <c r="AO499" s="1" t="s">
        <v>3560</v>
      </c>
      <c r="AP499" s="5">
        <v>43990</v>
      </c>
      <c r="AQ499" s="1" t="s">
        <v>3560</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3561</v>
      </c>
      <c r="BZ499" s="1273"/>
      <c r="CA499" s="158" t="s">
        <v>550</v>
      </c>
      <c r="CB499" s="158" t="s">
        <v>3545</v>
      </c>
      <c r="CC499" s="158" t="s">
        <v>3551</v>
      </c>
      <c r="CD499" s="158"/>
      <c r="CE499" s="1246" t="s">
        <v>2094</v>
      </c>
      <c r="CF499" s="38" t="s">
        <v>3596</v>
      </c>
    </row>
    <row r="500" spans="1:84" ht="118.5" hidden="1" customHeight="1">
      <c r="A500" s="1467"/>
      <c r="B500" s="22"/>
      <c r="C500" s="22"/>
      <c r="D500" s="22"/>
      <c r="E500" s="921">
        <v>44075</v>
      </c>
      <c r="F500" s="921"/>
      <c r="G500" s="925">
        <v>44286</v>
      </c>
      <c r="H500" s="1793"/>
      <c r="I500" s="331">
        <v>44017</v>
      </c>
      <c r="J500" s="331"/>
      <c r="K500" s="169">
        <v>2020</v>
      </c>
      <c r="L500" s="1446">
        <v>206.13</v>
      </c>
      <c r="M500" s="1446"/>
      <c r="N500" s="170" t="s">
        <v>76</v>
      </c>
      <c r="O500" s="178" t="s">
        <v>2830</v>
      </c>
      <c r="P500" s="172" t="s">
        <v>78</v>
      </c>
      <c r="Q500" s="173" t="s">
        <v>2848</v>
      </c>
      <c r="R500" s="173" t="s">
        <v>1975</v>
      </c>
      <c r="S500" s="586">
        <v>281826.5</v>
      </c>
      <c r="T500" s="176">
        <v>43994</v>
      </c>
      <c r="U500" s="176">
        <v>43997</v>
      </c>
      <c r="V500" s="177">
        <v>44011</v>
      </c>
      <c r="W500" s="105">
        <v>43993</v>
      </c>
      <c r="X500" s="178" t="s">
        <v>2814</v>
      </c>
      <c r="Y500" s="170" t="s">
        <v>1106</v>
      </c>
      <c r="Z500" s="201">
        <v>43984</v>
      </c>
      <c r="AA500" s="369"/>
      <c r="AB500" s="33" t="s">
        <v>2863</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2915</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3575</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93"/>
      <c r="I501" s="331">
        <v>44080</v>
      </c>
      <c r="J501" s="331"/>
      <c r="K501" s="169">
        <v>2020</v>
      </c>
      <c r="L501" s="1446">
        <v>206.14</v>
      </c>
      <c r="M501" s="1446"/>
      <c r="N501" s="170" t="s">
        <v>76</v>
      </c>
      <c r="O501" s="178" t="s">
        <v>2831</v>
      </c>
      <c r="P501" s="172" t="s">
        <v>78</v>
      </c>
      <c r="Q501" s="173" t="s">
        <v>2853</v>
      </c>
      <c r="R501" s="173" t="s">
        <v>1975</v>
      </c>
      <c r="S501" s="174">
        <v>241381.67</v>
      </c>
      <c r="T501" s="176">
        <v>43994</v>
      </c>
      <c r="U501" s="176">
        <v>44000</v>
      </c>
      <c r="V501" s="177">
        <v>44030</v>
      </c>
      <c r="W501" s="105">
        <v>43993</v>
      </c>
      <c r="X501" s="178" t="s">
        <v>2854</v>
      </c>
      <c r="Y501" s="170" t="s">
        <v>3050</v>
      </c>
      <c r="Z501" s="201">
        <v>43965</v>
      </c>
      <c r="AA501" s="369"/>
      <c r="AB501" s="33" t="s">
        <v>2906</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3733</v>
      </c>
      <c r="BZ501" s="1280"/>
      <c r="CA501" s="158" t="s">
        <v>3545</v>
      </c>
      <c r="CB501" s="158" t="s">
        <v>3573</v>
      </c>
      <c r="CC501" s="158" t="s">
        <v>3546</v>
      </c>
      <c r="CD501" s="158"/>
      <c r="CE501" s="1246" t="s">
        <v>2094</v>
      </c>
      <c r="CF501" s="38" t="s">
        <v>3597</v>
      </c>
    </row>
    <row r="502" spans="1:84" ht="97.5" hidden="1" customHeight="1">
      <c r="A502" s="1467"/>
      <c r="B502" s="22"/>
      <c r="C502" s="22"/>
      <c r="D502" s="22"/>
      <c r="E502" s="921">
        <v>44075</v>
      </c>
      <c r="F502" s="921"/>
      <c r="G502" s="925">
        <v>44291</v>
      </c>
      <c r="H502" s="1793"/>
      <c r="I502" s="331">
        <v>44302</v>
      </c>
      <c r="J502" s="331"/>
      <c r="K502" s="169">
        <v>2020</v>
      </c>
      <c r="L502" s="1446">
        <v>206.15</v>
      </c>
      <c r="M502" s="1446"/>
      <c r="N502" s="170" t="s">
        <v>165</v>
      </c>
      <c r="O502" s="178" t="s">
        <v>2832</v>
      </c>
      <c r="P502" s="172" t="s">
        <v>78</v>
      </c>
      <c r="Q502" s="173" t="s">
        <v>2928</v>
      </c>
      <c r="R502" s="173" t="s">
        <v>1975</v>
      </c>
      <c r="S502" s="174">
        <v>232396.73</v>
      </c>
      <c r="T502" s="176">
        <v>44012</v>
      </c>
      <c r="U502" s="176">
        <v>44046</v>
      </c>
      <c r="V502" s="177">
        <v>44099</v>
      </c>
      <c r="W502" s="105">
        <v>44011</v>
      </c>
      <c r="X502" s="178" t="s">
        <v>2929</v>
      </c>
      <c r="Y502" s="170" t="s">
        <v>983</v>
      </c>
      <c r="Z502" s="201" t="s">
        <v>1427</v>
      </c>
      <c r="AA502" s="369"/>
      <c r="AB502" s="33" t="s">
        <v>3586</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3587</v>
      </c>
      <c r="AP502" s="5">
        <v>44021</v>
      </c>
      <c r="AQ502" s="1" t="s">
        <v>3588</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3733</v>
      </c>
      <c r="BZ502" s="1280"/>
      <c r="CA502" s="158" t="s">
        <v>3556</v>
      </c>
      <c r="CB502" s="158" t="s">
        <v>3573</v>
      </c>
      <c r="CC502" s="158" t="s">
        <v>3546</v>
      </c>
      <c r="CD502" s="158"/>
      <c r="CE502" s="1246" t="s">
        <v>2094</v>
      </c>
      <c r="CF502" s="578" t="s">
        <v>1142</v>
      </c>
    </row>
    <row r="503" spans="1:84" ht="86.25" hidden="1" customHeight="1">
      <c r="A503" s="1467"/>
      <c r="B503" s="22"/>
      <c r="C503" s="22"/>
      <c r="D503" s="22"/>
      <c r="E503" s="921">
        <v>44075</v>
      </c>
      <c r="F503" s="921"/>
      <c r="G503" s="925">
        <v>44281</v>
      </c>
      <c r="H503" s="1793"/>
      <c r="I503" s="331">
        <v>44295</v>
      </c>
      <c r="J503" s="331"/>
      <c r="K503" s="169">
        <v>2020</v>
      </c>
      <c r="L503" s="1446">
        <v>206.16</v>
      </c>
      <c r="M503" s="1446"/>
      <c r="N503" s="170" t="s">
        <v>165</v>
      </c>
      <c r="O503" s="178" t="s">
        <v>2857</v>
      </c>
      <c r="P503" s="172" t="s">
        <v>78</v>
      </c>
      <c r="Q503" s="173" t="s">
        <v>3039</v>
      </c>
      <c r="R503" s="173" t="s">
        <v>2666</v>
      </c>
      <c r="S503" s="174">
        <v>302749.5</v>
      </c>
      <c r="T503" s="176">
        <v>44007</v>
      </c>
      <c r="U503" s="176">
        <v>44008</v>
      </c>
      <c r="V503" s="177">
        <v>44074</v>
      </c>
      <c r="W503" s="105">
        <v>44006</v>
      </c>
      <c r="X503" s="178" t="s">
        <v>2807</v>
      </c>
      <c r="Y503" s="170" t="s">
        <v>448</v>
      </c>
      <c r="Z503" s="201" t="s">
        <v>1427</v>
      </c>
      <c r="AA503" s="369"/>
      <c r="AB503" s="33" t="s">
        <v>3572</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3570</v>
      </c>
      <c r="BZ503" s="158"/>
      <c r="CA503" s="158" t="s">
        <v>3545</v>
      </c>
      <c r="CB503" s="158" t="s">
        <v>3573</v>
      </c>
      <c r="CC503" s="158" t="s">
        <v>3546</v>
      </c>
      <c r="CD503" s="158"/>
      <c r="CE503" s="1246" t="s">
        <v>2094</v>
      </c>
      <c r="CF503" s="578" t="s">
        <v>1142</v>
      </c>
    </row>
    <row r="504" spans="1:84" ht="90.75" hidden="1" customHeight="1">
      <c r="A504" s="1467"/>
      <c r="B504" s="22"/>
      <c r="C504" s="22"/>
      <c r="D504" s="22"/>
      <c r="E504" s="921">
        <v>44075</v>
      </c>
      <c r="F504" s="921"/>
      <c r="G504" s="925">
        <v>44281</v>
      </c>
      <c r="H504" s="1793"/>
      <c r="I504" s="331">
        <v>44295</v>
      </c>
      <c r="J504" s="331"/>
      <c r="K504" s="169">
        <v>2020</v>
      </c>
      <c r="L504" s="1446">
        <v>206.17</v>
      </c>
      <c r="M504" s="1446"/>
      <c r="N504" s="170" t="s">
        <v>165</v>
      </c>
      <c r="O504" s="178" t="s">
        <v>2858</v>
      </c>
      <c r="P504" s="172" t="s">
        <v>78</v>
      </c>
      <c r="Q504" s="173" t="s">
        <v>2932</v>
      </c>
      <c r="R504" s="173" t="s">
        <v>2666</v>
      </c>
      <c r="S504" s="174">
        <v>423536.77</v>
      </c>
      <c r="T504" s="176">
        <v>44012</v>
      </c>
      <c r="U504" s="176">
        <v>44018</v>
      </c>
      <c r="V504" s="177">
        <v>44104</v>
      </c>
      <c r="W504" s="105">
        <v>44011</v>
      </c>
      <c r="X504" s="178" t="s">
        <v>2807</v>
      </c>
      <c r="Y504" s="170" t="s">
        <v>448</v>
      </c>
      <c r="Z504" s="201" t="s">
        <v>1427</v>
      </c>
      <c r="AA504" s="369"/>
      <c r="AB504" s="33" t="s">
        <v>2922</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3570</v>
      </c>
      <c r="BZ504" s="158"/>
      <c r="CA504" s="158" t="s">
        <v>3545</v>
      </c>
      <c r="CB504" s="158" t="s">
        <v>3545</v>
      </c>
      <c r="CC504" s="158" t="s">
        <v>3546</v>
      </c>
      <c r="CD504" s="158"/>
      <c r="CE504" s="1246" t="s">
        <v>2094</v>
      </c>
      <c r="CF504" s="578" t="s">
        <v>1142</v>
      </c>
    </row>
    <row r="505" spans="1:84" ht="78" hidden="1" customHeight="1">
      <c r="A505" s="1467"/>
      <c r="B505" s="22"/>
      <c r="C505" s="22"/>
      <c r="D505" s="22"/>
      <c r="E505" s="921"/>
      <c r="F505" s="921"/>
      <c r="G505" s="925">
        <v>44408</v>
      </c>
      <c r="H505" s="1793"/>
      <c r="I505" s="331">
        <v>44302</v>
      </c>
      <c r="J505" s="331"/>
      <c r="K505" s="169">
        <v>2020</v>
      </c>
      <c r="L505" s="1446">
        <v>206.18</v>
      </c>
      <c r="M505" s="1446"/>
      <c r="N505" s="170" t="s">
        <v>76</v>
      </c>
      <c r="O505" s="178" t="s">
        <v>2859</v>
      </c>
      <c r="P505" s="172" t="s">
        <v>78</v>
      </c>
      <c r="Q505" s="173" t="s">
        <v>2934</v>
      </c>
      <c r="R505" s="173" t="s">
        <v>2541</v>
      </c>
      <c r="S505" s="174">
        <v>174784.71</v>
      </c>
      <c r="T505" s="176">
        <v>44019</v>
      </c>
      <c r="U505" s="176">
        <v>44032</v>
      </c>
      <c r="V505" s="177">
        <v>44051</v>
      </c>
      <c r="W505" s="68">
        <v>44018</v>
      </c>
      <c r="X505" s="178" t="s">
        <v>2935</v>
      </c>
      <c r="Y505" s="170" t="s">
        <v>113</v>
      </c>
      <c r="Z505" s="201">
        <v>43973</v>
      </c>
      <c r="AA505" s="369"/>
      <c r="AB505" s="33" t="s">
        <v>3577</v>
      </c>
      <c r="AC505" s="8">
        <v>43972</v>
      </c>
      <c r="AD505" s="4">
        <v>240672.69</v>
      </c>
      <c r="AE505" s="4"/>
      <c r="AF505" s="32"/>
      <c r="AG505" s="34" t="s">
        <v>67</v>
      </c>
      <c r="AH505" s="112" t="s">
        <v>67</v>
      </c>
      <c r="AI505" s="112" t="s">
        <v>67</v>
      </c>
      <c r="AJ505" s="7" t="s">
        <v>67</v>
      </c>
      <c r="AK505" s="109" t="s">
        <v>67</v>
      </c>
      <c r="AL505" s="33" t="s">
        <v>3558</v>
      </c>
      <c r="AM505" s="1" t="s">
        <v>3578</v>
      </c>
      <c r="AN505" s="5">
        <v>44019</v>
      </c>
      <c r="AO505" s="1" t="s">
        <v>3579</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3733</v>
      </c>
      <c r="BZ505" s="1280"/>
      <c r="CA505" s="1281" t="s">
        <v>73</v>
      </c>
      <c r="CB505" s="158" t="s">
        <v>3545</v>
      </c>
      <c r="CC505" s="158" t="s">
        <v>3551</v>
      </c>
      <c r="CD505" s="158"/>
      <c r="CE505" s="1246" t="s">
        <v>2094</v>
      </c>
      <c r="CF505" s="38"/>
    </row>
    <row r="506" spans="1:84" ht="75.75" hidden="1" customHeight="1">
      <c r="A506" s="1467"/>
      <c r="B506" s="22"/>
      <c r="C506" s="22"/>
      <c r="D506" s="22"/>
      <c r="E506" s="921"/>
      <c r="F506" s="921"/>
      <c r="G506" s="925">
        <v>44408</v>
      </c>
      <c r="H506" s="1793"/>
      <c r="I506" s="331">
        <v>44302</v>
      </c>
      <c r="J506" s="331"/>
      <c r="K506" s="169">
        <v>2020</v>
      </c>
      <c r="L506" s="1446">
        <v>206.19</v>
      </c>
      <c r="M506" s="1446"/>
      <c r="N506" s="170" t="s">
        <v>76</v>
      </c>
      <c r="O506" s="178" t="s">
        <v>2860</v>
      </c>
      <c r="P506" s="172" t="s">
        <v>78</v>
      </c>
      <c r="Q506" s="173" t="s">
        <v>2937</v>
      </c>
      <c r="R506" s="173" t="s">
        <v>2580</v>
      </c>
      <c r="S506" s="586">
        <v>165908.29999999999</v>
      </c>
      <c r="T506" s="601">
        <v>44019</v>
      </c>
      <c r="U506" s="601">
        <v>44032</v>
      </c>
      <c r="V506" s="602">
        <v>44051</v>
      </c>
      <c r="W506" s="68">
        <v>44018</v>
      </c>
      <c r="X506" s="178" t="s">
        <v>2935</v>
      </c>
      <c r="Y506" s="170" t="s">
        <v>113</v>
      </c>
      <c r="Z506" s="462" t="s">
        <v>73</v>
      </c>
      <c r="AA506" s="1400"/>
      <c r="AB506" s="33" t="s">
        <v>3010</v>
      </c>
      <c r="AC506" s="8">
        <v>43972</v>
      </c>
      <c r="AD506" s="4">
        <v>240672.69</v>
      </c>
      <c r="AE506" s="4"/>
      <c r="AF506" s="32"/>
      <c r="AG506" s="34" t="s">
        <v>67</v>
      </c>
      <c r="AH506" s="112" t="s">
        <v>67</v>
      </c>
      <c r="AI506" s="112" t="s">
        <v>67</v>
      </c>
      <c r="AJ506" s="7" t="s">
        <v>67</v>
      </c>
      <c r="AK506" s="109" t="s">
        <v>67</v>
      </c>
      <c r="AL506" s="33" t="s">
        <v>3558</v>
      </c>
      <c r="AM506" s="1" t="s">
        <v>3580</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3545</v>
      </c>
      <c r="CC506" s="158" t="s">
        <v>3584</v>
      </c>
      <c r="CD506" s="158"/>
      <c r="CE506" s="1246" t="s">
        <v>2094</v>
      </c>
      <c r="CF506" s="1282" t="s">
        <v>3581</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2861</v>
      </c>
      <c r="P507" s="789" t="s">
        <v>250</v>
      </c>
      <c r="Q507" s="1078" t="s">
        <v>3975</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54"/>
      <c r="BG507" s="1093"/>
      <c r="BH507" s="1093"/>
      <c r="BI507" s="1093"/>
      <c r="BJ507" s="1103">
        <f t="shared" si="16"/>
        <v>0</v>
      </c>
      <c r="BK507" s="1104"/>
      <c r="BL507" s="1905"/>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93"/>
      <c r="I508" s="331">
        <v>44080</v>
      </c>
      <c r="J508" s="331"/>
      <c r="K508" s="169">
        <v>2020</v>
      </c>
      <c r="L508" s="1446">
        <v>206.21</v>
      </c>
      <c r="M508" s="1446"/>
      <c r="N508" s="170" t="s">
        <v>76</v>
      </c>
      <c r="O508" s="178" t="s">
        <v>2924</v>
      </c>
      <c r="P508" s="172" t="s">
        <v>78</v>
      </c>
      <c r="Q508" s="173" t="s">
        <v>2939</v>
      </c>
      <c r="R508" s="173" t="s">
        <v>3626</v>
      </c>
      <c r="S508" s="174">
        <v>773550.52</v>
      </c>
      <c r="T508" s="176">
        <v>44021</v>
      </c>
      <c r="U508" s="176">
        <v>44032</v>
      </c>
      <c r="V508" s="177">
        <v>44077</v>
      </c>
      <c r="W508" s="105">
        <v>44020</v>
      </c>
      <c r="X508" s="178" t="s">
        <v>2940</v>
      </c>
      <c r="Y508" s="170" t="s">
        <v>212</v>
      </c>
      <c r="Z508" s="201">
        <v>43985</v>
      </c>
      <c r="AA508" s="369"/>
      <c r="AB508" s="33" t="s">
        <v>2986</v>
      </c>
      <c r="AC508" s="8">
        <v>43972</v>
      </c>
      <c r="AD508" s="4">
        <v>801629.24</v>
      </c>
      <c r="AE508" s="4"/>
      <c r="AF508" s="32"/>
      <c r="AG508" s="34" t="s">
        <v>67</v>
      </c>
      <c r="AH508" s="112" t="s">
        <v>67</v>
      </c>
      <c r="AI508" s="112" t="s">
        <v>67</v>
      </c>
      <c r="AJ508" s="7" t="s">
        <v>67</v>
      </c>
      <c r="AK508" s="109" t="s">
        <v>67</v>
      </c>
      <c r="AL508" s="33" t="s">
        <v>1010</v>
      </c>
      <c r="AM508" s="2" t="s">
        <v>3567</v>
      </c>
      <c r="AN508" s="239">
        <v>44021</v>
      </c>
      <c r="AO508" s="2" t="s">
        <v>3568</v>
      </c>
      <c r="AP508" s="239">
        <v>44021</v>
      </c>
      <c r="AQ508" s="2" t="s">
        <v>3569</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3570</v>
      </c>
      <c r="BZ508" s="158"/>
      <c r="CA508" s="158" t="s">
        <v>550</v>
      </c>
      <c r="CB508" s="158" t="s">
        <v>3545</v>
      </c>
      <c r="CC508" s="158" t="s">
        <v>3551</v>
      </c>
      <c r="CD508" s="158"/>
      <c r="CE508" s="1246" t="s">
        <v>2094</v>
      </c>
      <c r="CF508" s="38" t="s">
        <v>3571</v>
      </c>
    </row>
    <row r="509" spans="1:84" ht="140.25" hidden="1" customHeight="1">
      <c r="A509" s="1467"/>
      <c r="B509" s="22"/>
      <c r="C509" s="22"/>
      <c r="D509" s="22"/>
      <c r="E509" s="921">
        <v>44075</v>
      </c>
      <c r="F509" s="921"/>
      <c r="G509" s="925">
        <v>44279</v>
      </c>
      <c r="H509" s="1793"/>
      <c r="I509" s="331">
        <v>44080</v>
      </c>
      <c r="J509" s="331"/>
      <c r="K509" s="169">
        <v>2020</v>
      </c>
      <c r="L509" s="1446">
        <v>206.22</v>
      </c>
      <c r="M509" s="1446"/>
      <c r="N509" s="170" t="s">
        <v>76</v>
      </c>
      <c r="O509" s="178" t="s">
        <v>2925</v>
      </c>
      <c r="P509" s="172" t="s">
        <v>78</v>
      </c>
      <c r="Q509" s="173" t="s">
        <v>2984</v>
      </c>
      <c r="R509" s="173" t="s">
        <v>3626</v>
      </c>
      <c r="S509" s="174">
        <v>844236.05</v>
      </c>
      <c r="T509" s="176">
        <v>44021</v>
      </c>
      <c r="U509" s="176">
        <v>44027</v>
      </c>
      <c r="V509" s="177">
        <v>44088</v>
      </c>
      <c r="W509" s="105">
        <v>44020</v>
      </c>
      <c r="X509" s="178" t="s">
        <v>2976</v>
      </c>
      <c r="Y509" s="170" t="s">
        <v>212</v>
      </c>
      <c r="Z509" s="1062">
        <v>43985</v>
      </c>
      <c r="AA509" s="1412"/>
      <c r="AB509" s="33" t="s">
        <v>2985</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3564</v>
      </c>
      <c r="AP509" s="5">
        <v>44021</v>
      </c>
      <c r="AQ509" s="2" t="s">
        <v>3565</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907"/>
      <c r="BM509" s="337">
        <v>44028</v>
      </c>
      <c r="BN509" s="131" t="s">
        <v>73</v>
      </c>
      <c r="BO509" s="131" t="s">
        <v>73</v>
      </c>
      <c r="BP509" s="1274"/>
      <c r="BQ509" s="1274"/>
      <c r="BR509" s="1274"/>
      <c r="BS509" s="924"/>
      <c r="BT509" s="1274" t="s">
        <v>73</v>
      </c>
      <c r="BU509" s="1274"/>
      <c r="BV509" s="687"/>
      <c r="BW509" s="685" t="s">
        <v>67</v>
      </c>
      <c r="BX509" s="13"/>
      <c r="BY509" s="1333" t="s">
        <v>3570</v>
      </c>
      <c r="BZ509" s="1333"/>
      <c r="CA509" s="13"/>
      <c r="CB509" s="13"/>
      <c r="CC509" s="13"/>
      <c r="CD509" s="13"/>
      <c r="CE509" s="1246" t="s">
        <v>2094</v>
      </c>
      <c r="CF509" s="38" t="s">
        <v>3566</v>
      </c>
    </row>
    <row r="510" spans="1:84" ht="75.75" hidden="1" customHeight="1">
      <c r="A510" s="1467"/>
      <c r="B510" s="22"/>
      <c r="C510" s="22"/>
      <c r="D510" s="22"/>
      <c r="E510" s="921">
        <v>44075</v>
      </c>
      <c r="F510" s="921"/>
      <c r="G510" s="925">
        <v>44286</v>
      </c>
      <c r="H510" s="1793"/>
      <c r="I510" s="331">
        <v>44302</v>
      </c>
      <c r="J510" s="331"/>
      <c r="K510" s="169">
        <v>2020</v>
      </c>
      <c r="L510" s="1446">
        <v>206.23</v>
      </c>
      <c r="M510" s="1446"/>
      <c r="N510" s="170" t="s">
        <v>76</v>
      </c>
      <c r="O510" s="178" t="s">
        <v>2926</v>
      </c>
      <c r="P510" s="172" t="s">
        <v>78</v>
      </c>
      <c r="Q510" s="173" t="s">
        <v>2945</v>
      </c>
      <c r="R510" s="173" t="s">
        <v>1975</v>
      </c>
      <c r="S510" s="174">
        <v>189588.54</v>
      </c>
      <c r="T510" s="176">
        <v>44019</v>
      </c>
      <c r="U510" s="176">
        <v>44032</v>
      </c>
      <c r="V510" s="177">
        <v>44051</v>
      </c>
      <c r="W510" s="68">
        <v>44018</v>
      </c>
      <c r="X510" s="178" t="s">
        <v>2935</v>
      </c>
      <c r="Y510" s="170" t="s">
        <v>113</v>
      </c>
      <c r="Z510" s="201">
        <v>43973</v>
      </c>
      <c r="AA510" s="369"/>
      <c r="AB510" s="33" t="s">
        <v>3011</v>
      </c>
      <c r="AC510" s="8">
        <v>43972</v>
      </c>
      <c r="AD510" s="4">
        <v>240672.69</v>
      </c>
      <c r="AE510" s="4"/>
      <c r="AF510" s="32"/>
      <c r="AG510" s="34" t="s">
        <v>67</v>
      </c>
      <c r="AH510" s="112" t="s">
        <v>67</v>
      </c>
      <c r="AI510" s="112" t="s">
        <v>67</v>
      </c>
      <c r="AJ510" s="7" t="s">
        <v>67</v>
      </c>
      <c r="AK510" s="109" t="s">
        <v>67</v>
      </c>
      <c r="AL510" s="33" t="s">
        <v>3558</v>
      </c>
      <c r="AM510" s="1" t="s">
        <v>3582</v>
      </c>
      <c r="AN510" s="5">
        <v>44019</v>
      </c>
      <c r="AO510" s="1" t="s">
        <v>3583</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3733</v>
      </c>
      <c r="BZ510" s="1280"/>
      <c r="CA510" s="1281" t="s">
        <v>73</v>
      </c>
      <c r="CB510" s="158" t="s">
        <v>3545</v>
      </c>
      <c r="CC510" s="158" t="s">
        <v>3551</v>
      </c>
      <c r="CD510" s="158"/>
      <c r="CE510" s="1246" t="s">
        <v>2094</v>
      </c>
      <c r="CF510" s="38"/>
    </row>
    <row r="511" spans="1:84" ht="121.5" hidden="1" customHeight="1">
      <c r="A511" s="1467"/>
      <c r="B511" s="22"/>
      <c r="C511" s="921"/>
      <c r="D511" s="921"/>
      <c r="E511" s="921">
        <v>44075</v>
      </c>
      <c r="F511" s="921"/>
      <c r="G511" s="925">
        <v>44267</v>
      </c>
      <c r="H511" s="1793"/>
      <c r="I511" s="331">
        <v>44267</v>
      </c>
      <c r="J511" s="331"/>
      <c r="K511" s="169">
        <v>2020</v>
      </c>
      <c r="L511" s="1446">
        <v>206.24</v>
      </c>
      <c r="M511" s="1446"/>
      <c r="N511" s="170" t="s">
        <v>76</v>
      </c>
      <c r="O511" s="178" t="s">
        <v>2927</v>
      </c>
      <c r="P511" s="172" t="s">
        <v>78</v>
      </c>
      <c r="Q511" s="173" t="s">
        <v>3036</v>
      </c>
      <c r="R511" s="173" t="s">
        <v>2541</v>
      </c>
      <c r="S511" s="174">
        <v>1003699.45</v>
      </c>
      <c r="T511" s="176">
        <v>44028</v>
      </c>
      <c r="U511" s="176">
        <v>44032</v>
      </c>
      <c r="V511" s="177">
        <v>44089</v>
      </c>
      <c r="W511" s="105">
        <v>44026</v>
      </c>
      <c r="X511" s="178" t="s">
        <v>738</v>
      </c>
      <c r="Y511" s="170" t="s">
        <v>1106</v>
      </c>
      <c r="Z511" s="201">
        <v>44034</v>
      </c>
      <c r="AA511" s="369"/>
      <c r="AB511" s="33" t="s">
        <v>2982</v>
      </c>
      <c r="AC511" s="8">
        <v>43972</v>
      </c>
      <c r="AD511" s="4">
        <v>955219.27</v>
      </c>
      <c r="AE511" s="4"/>
      <c r="AF511" s="32"/>
      <c r="AG511" s="34" t="s">
        <v>67</v>
      </c>
      <c r="AH511" s="112" t="s">
        <v>67</v>
      </c>
      <c r="AI511" s="112" t="s">
        <v>67</v>
      </c>
      <c r="AJ511" s="7" t="s">
        <v>67</v>
      </c>
      <c r="AK511" s="109" t="s">
        <v>67</v>
      </c>
      <c r="AL511" s="33" t="s">
        <v>2983</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3570</v>
      </c>
      <c r="BZ511" s="158"/>
      <c r="CA511" s="158" t="s">
        <v>3556</v>
      </c>
      <c r="CB511" s="158" t="s">
        <v>3545</v>
      </c>
      <c r="CC511" s="158" t="s">
        <v>3551</v>
      </c>
      <c r="CD511" s="158"/>
      <c r="CE511" s="1246" t="s">
        <v>2094</v>
      </c>
      <c r="CF511" s="38"/>
    </row>
    <row r="512" spans="1:84" ht="156" hidden="1" customHeight="1">
      <c r="A512" s="1467"/>
      <c r="B512" s="22"/>
      <c r="C512" s="921"/>
      <c r="D512" s="921"/>
      <c r="E512" s="921">
        <v>44075</v>
      </c>
      <c r="F512" s="921"/>
      <c r="G512" s="925">
        <v>44267</v>
      </c>
      <c r="H512" s="1793"/>
      <c r="I512" s="331">
        <v>44267</v>
      </c>
      <c r="J512" s="331"/>
      <c r="K512" s="169">
        <v>2020</v>
      </c>
      <c r="L512" s="1446">
        <v>206.25</v>
      </c>
      <c r="M512" s="1446"/>
      <c r="N512" s="170" t="s">
        <v>76</v>
      </c>
      <c r="O512" s="178" t="s">
        <v>3013</v>
      </c>
      <c r="P512" s="172" t="s">
        <v>78</v>
      </c>
      <c r="Q512" s="173" t="s">
        <v>3181</v>
      </c>
      <c r="R512" s="173" t="s">
        <v>2541</v>
      </c>
      <c r="S512" s="586">
        <v>961974.96</v>
      </c>
      <c r="T512" s="176">
        <v>44028</v>
      </c>
      <c r="U512" s="176">
        <v>44032</v>
      </c>
      <c r="V512" s="177">
        <v>44089</v>
      </c>
      <c r="W512" s="105">
        <v>44026</v>
      </c>
      <c r="X512" s="178" t="s">
        <v>738</v>
      </c>
      <c r="Y512" s="170" t="s">
        <v>1106</v>
      </c>
      <c r="Z512" s="201">
        <v>44034</v>
      </c>
      <c r="AA512" s="369"/>
      <c r="AB512" s="33" t="s">
        <v>2982</v>
      </c>
      <c r="AC512" s="8">
        <v>43972</v>
      </c>
      <c r="AD512" s="79">
        <f>801868.45+112115.45</f>
        <v>913983.89999999991</v>
      </c>
      <c r="AE512" s="4"/>
      <c r="AF512" s="32"/>
      <c r="AG512" s="34" t="s">
        <v>67</v>
      </c>
      <c r="AH512" s="112" t="s">
        <v>67</v>
      </c>
      <c r="AI512" s="112" t="s">
        <v>67</v>
      </c>
      <c r="AJ512" s="7" t="s">
        <v>67</v>
      </c>
      <c r="AK512" s="109" t="s">
        <v>67</v>
      </c>
      <c r="AL512" s="33" t="s">
        <v>2983</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3570</v>
      </c>
      <c r="BZ512" s="158"/>
      <c r="CA512" s="158" t="s">
        <v>3556</v>
      </c>
      <c r="CB512" s="158" t="s">
        <v>3545</v>
      </c>
      <c r="CC512" s="158" t="s">
        <v>3551</v>
      </c>
      <c r="CD512" s="158"/>
      <c r="CE512" s="1246" t="s">
        <v>2094</v>
      </c>
      <c r="CF512" s="38"/>
    </row>
    <row r="513" spans="1:84" ht="117.75" hidden="1" customHeight="1">
      <c r="A513" s="1467"/>
      <c r="B513" s="22"/>
      <c r="C513" s="1473">
        <v>44494</v>
      </c>
      <c r="D513" s="1473"/>
      <c r="E513" s="921">
        <v>44075</v>
      </c>
      <c r="F513" s="921"/>
      <c r="G513" s="925">
        <v>44278</v>
      </c>
      <c r="H513" s="1793"/>
      <c r="I513" s="331">
        <v>44295</v>
      </c>
      <c r="J513" s="331"/>
      <c r="K513" s="169">
        <v>2020</v>
      </c>
      <c r="L513" s="1446">
        <v>206.26</v>
      </c>
      <c r="M513" s="1446"/>
      <c r="N513" s="170" t="s">
        <v>76</v>
      </c>
      <c r="O513" s="178" t="s">
        <v>2974</v>
      </c>
      <c r="P513" s="172" t="s">
        <v>78</v>
      </c>
      <c r="Q513" s="173" t="s">
        <v>3208</v>
      </c>
      <c r="R513" s="173" t="s">
        <v>2541</v>
      </c>
      <c r="S513" s="174">
        <v>720809.67</v>
      </c>
      <c r="T513" s="176">
        <v>44076</v>
      </c>
      <c r="U513" s="176">
        <v>44069</v>
      </c>
      <c r="V513" s="177">
        <v>44142</v>
      </c>
      <c r="W513" s="105">
        <v>44074</v>
      </c>
      <c r="X513" s="178" t="s">
        <v>1318</v>
      </c>
      <c r="Y513" s="170" t="s">
        <v>983</v>
      </c>
      <c r="Z513" s="603" t="s">
        <v>4030</v>
      </c>
      <c r="AA513" s="1400"/>
      <c r="AB513" s="33" t="s">
        <v>2982</v>
      </c>
      <c r="AC513" s="8">
        <v>43972</v>
      </c>
      <c r="AD513" s="4">
        <v>725198.91</v>
      </c>
      <c r="AE513" s="4"/>
      <c r="AF513" s="32"/>
      <c r="AG513" s="34" t="s">
        <v>67</v>
      </c>
      <c r="AH513" s="112" t="s">
        <v>67</v>
      </c>
      <c r="AI513" s="112" t="s">
        <v>67</v>
      </c>
      <c r="AJ513" s="7" t="s">
        <v>67</v>
      </c>
      <c r="AK513" s="109" t="s">
        <v>67</v>
      </c>
      <c r="AL513" s="33" t="s">
        <v>1010</v>
      </c>
      <c r="AM513" s="2" t="s">
        <v>3552</v>
      </c>
      <c r="AN513" s="239">
        <v>44076</v>
      </c>
      <c r="AO513" s="2" t="s">
        <v>3553</v>
      </c>
      <c r="AP513" s="239">
        <v>44076</v>
      </c>
      <c r="AQ513" s="2" t="s">
        <v>3554</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3575</v>
      </c>
      <c r="BZ513" s="1334"/>
      <c r="CA513" s="158" t="s">
        <v>3556</v>
      </c>
      <c r="CB513" s="158" t="s">
        <v>3545</v>
      </c>
      <c r="CC513" s="158" t="s">
        <v>3551</v>
      </c>
      <c r="CD513" s="158"/>
      <c r="CE513" s="1246" t="s">
        <v>2094</v>
      </c>
      <c r="CF513" s="38"/>
    </row>
    <row r="514" spans="1:84" ht="67.5" hidden="1" customHeight="1">
      <c r="A514" s="1467"/>
      <c r="B514" s="22"/>
      <c r="C514" s="22"/>
      <c r="D514" s="22"/>
      <c r="E514" s="921"/>
      <c r="F514" s="921"/>
      <c r="G514" s="925">
        <v>44278</v>
      </c>
      <c r="H514" s="1793"/>
      <c r="I514" s="331">
        <v>44295</v>
      </c>
      <c r="J514" s="331"/>
      <c r="K514" s="169">
        <v>2020</v>
      </c>
      <c r="L514" s="1446">
        <v>206.27</v>
      </c>
      <c r="M514" s="1446"/>
      <c r="N514" s="170" t="s">
        <v>76</v>
      </c>
      <c r="O514" s="178" t="s">
        <v>2975</v>
      </c>
      <c r="P514" s="172" t="s">
        <v>3215</v>
      </c>
      <c r="Q514" s="173" t="s">
        <v>3336</v>
      </c>
      <c r="R514" s="173" t="s">
        <v>1975</v>
      </c>
      <c r="S514" s="174">
        <v>2630623.62</v>
      </c>
      <c r="T514" s="176">
        <v>44007</v>
      </c>
      <c r="U514" s="176">
        <v>44008</v>
      </c>
      <c r="V514" s="177">
        <v>44099</v>
      </c>
      <c r="W514" s="668" t="s">
        <v>67</v>
      </c>
      <c r="X514" s="178" t="s">
        <v>3337</v>
      </c>
      <c r="Y514" s="170" t="s">
        <v>448</v>
      </c>
      <c r="Z514" s="462" t="s">
        <v>73</v>
      </c>
      <c r="AA514" s="1400"/>
      <c r="AB514" s="33" t="s">
        <v>3544</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3547</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3733</v>
      </c>
      <c r="BZ514" s="1272"/>
      <c r="CA514" s="13" t="s">
        <v>550</v>
      </c>
      <c r="CB514" s="1271" t="s">
        <v>3545</v>
      </c>
      <c r="CC514" s="158" t="s">
        <v>3546</v>
      </c>
      <c r="CD514" s="158"/>
      <c r="CE514" s="1246" t="s">
        <v>2094</v>
      </c>
      <c r="CF514" s="38"/>
    </row>
    <row r="515" spans="1:84" ht="64.5" hidden="1" customHeight="1">
      <c r="A515" s="1467"/>
      <c r="B515" s="22"/>
      <c r="C515" s="1474">
        <v>44494</v>
      </c>
      <c r="D515" s="1474"/>
      <c r="E515" s="921"/>
      <c r="F515" s="921"/>
      <c r="G515" s="925">
        <v>44516</v>
      </c>
      <c r="H515" s="1793"/>
      <c r="I515" s="331">
        <v>44309</v>
      </c>
      <c r="J515" s="331"/>
      <c r="K515" s="169">
        <v>2020</v>
      </c>
      <c r="L515" s="1446">
        <v>206.28</v>
      </c>
      <c r="M515" s="1446"/>
      <c r="N515" s="1067" t="s">
        <v>866</v>
      </c>
      <c r="O515" s="178" t="s">
        <v>3214</v>
      </c>
      <c r="P515" s="172" t="s">
        <v>3215</v>
      </c>
      <c r="Q515" s="173" t="s">
        <v>3216</v>
      </c>
      <c r="R515" s="173" t="s">
        <v>2541</v>
      </c>
      <c r="S515" s="174">
        <v>8270578.4299999997</v>
      </c>
      <c r="T515" s="176">
        <v>44120</v>
      </c>
      <c r="U515" s="176">
        <v>44123</v>
      </c>
      <c r="V515" s="177">
        <v>44176</v>
      </c>
      <c r="W515" s="105" t="s">
        <v>1427</v>
      </c>
      <c r="X515" s="1066" t="s">
        <v>738</v>
      </c>
      <c r="Y515" s="1067" t="s">
        <v>3260</v>
      </c>
      <c r="Z515" s="603" t="s">
        <v>4030</v>
      </c>
      <c r="AA515" s="1402" t="s">
        <v>3868</v>
      </c>
      <c r="AB515" s="33" t="s">
        <v>3296</v>
      </c>
      <c r="AC515" s="8">
        <v>44021</v>
      </c>
      <c r="AD515" s="79">
        <v>10000000</v>
      </c>
      <c r="AE515" s="656" t="s">
        <v>3297</v>
      </c>
      <c r="AF515" s="32">
        <v>10000000</v>
      </c>
      <c r="AG515" s="1350">
        <v>44099</v>
      </c>
      <c r="AH515" s="1351">
        <v>44102</v>
      </c>
      <c r="AI515" s="1351">
        <v>44103</v>
      </c>
      <c r="AJ515" s="576">
        <v>44109</v>
      </c>
      <c r="AK515" s="573">
        <v>44113</v>
      </c>
      <c r="AL515" s="115" t="s">
        <v>3833</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60"/>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3834</v>
      </c>
      <c r="BW515" s="685" t="s">
        <v>67</v>
      </c>
      <c r="BX515" s="13"/>
      <c r="BY515" s="1333" t="s">
        <v>3570</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93"/>
      <c r="I516" s="331">
        <v>44309</v>
      </c>
      <c r="J516" s="331"/>
      <c r="K516" s="169">
        <v>2020</v>
      </c>
      <c r="L516" s="1446">
        <v>206.29</v>
      </c>
      <c r="M516" s="1446"/>
      <c r="N516" s="170" t="s">
        <v>866</v>
      </c>
      <c r="O516" s="178" t="s">
        <v>3357</v>
      </c>
      <c r="P516" s="172" t="s">
        <v>3215</v>
      </c>
      <c r="Q516" s="173" t="s">
        <v>3294</v>
      </c>
      <c r="R516" s="173" t="s">
        <v>2541</v>
      </c>
      <c r="S516" s="174">
        <v>1729413</v>
      </c>
      <c r="T516" s="998">
        <v>44485</v>
      </c>
      <c r="U516" s="176">
        <v>44123</v>
      </c>
      <c r="V516" s="177">
        <v>44196</v>
      </c>
      <c r="W516" s="105" t="s">
        <v>1427</v>
      </c>
      <c r="X516" s="178" t="s">
        <v>3295</v>
      </c>
      <c r="Y516" s="1067" t="s">
        <v>3260</v>
      </c>
      <c r="Z516" s="603" t="s">
        <v>4030</v>
      </c>
      <c r="AA516" s="1402" t="s">
        <v>3868</v>
      </c>
      <c r="AB516" s="33" t="s">
        <v>3296</v>
      </c>
      <c r="AC516" s="8">
        <v>44021</v>
      </c>
      <c r="AD516" s="4">
        <v>10000000</v>
      </c>
      <c r="AE516" s="656" t="s">
        <v>3297</v>
      </c>
      <c r="AF516" s="32">
        <v>10000000</v>
      </c>
      <c r="AG516" s="1350">
        <v>44099</v>
      </c>
      <c r="AH516" s="1351">
        <v>44102</v>
      </c>
      <c r="AI516" s="1351">
        <v>44103</v>
      </c>
      <c r="AJ516" s="1352">
        <v>44109</v>
      </c>
      <c r="AK516" s="407">
        <v>44113</v>
      </c>
      <c r="AL516" s="345" t="s">
        <v>1010</v>
      </c>
      <c r="AM516" s="1" t="s">
        <v>67</v>
      </c>
      <c r="AN516" s="5"/>
      <c r="AO516" s="1" t="s">
        <v>3835</v>
      </c>
      <c r="AP516" s="5">
        <v>44120</v>
      </c>
      <c r="AQ516" s="1" t="s">
        <v>3836</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3837</v>
      </c>
      <c r="BW516" s="685" t="s">
        <v>67</v>
      </c>
      <c r="BX516" s="13"/>
      <c r="BY516" s="1334" t="s">
        <v>3570</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93"/>
      <c r="I517" s="331">
        <v>44309</v>
      </c>
      <c r="J517" s="331"/>
      <c r="K517" s="169">
        <v>2020</v>
      </c>
      <c r="L517" s="1446">
        <v>206.3</v>
      </c>
      <c r="M517" s="1446"/>
      <c r="N517" s="170" t="s">
        <v>866</v>
      </c>
      <c r="O517" s="178" t="s">
        <v>3359</v>
      </c>
      <c r="P517" s="172" t="s">
        <v>3215</v>
      </c>
      <c r="Q517" s="173" t="s">
        <v>3361</v>
      </c>
      <c r="R517" s="173" t="s">
        <v>1975</v>
      </c>
      <c r="S517" s="174">
        <v>4896549.54</v>
      </c>
      <c r="T517" s="176">
        <v>44110</v>
      </c>
      <c r="U517" s="176">
        <v>44130</v>
      </c>
      <c r="V517" s="177">
        <v>44196</v>
      </c>
      <c r="W517" s="105">
        <v>44109</v>
      </c>
      <c r="X517" s="178" t="s">
        <v>2940</v>
      </c>
      <c r="Y517" s="170" t="s">
        <v>3050</v>
      </c>
      <c r="Z517" s="600" t="s">
        <v>351</v>
      </c>
      <c r="AA517" s="1402" t="s">
        <v>3868</v>
      </c>
      <c r="AB517" s="33" t="s">
        <v>3298</v>
      </c>
      <c r="AC517" s="8">
        <v>44049</v>
      </c>
      <c r="AD517" s="4">
        <v>10000000</v>
      </c>
      <c r="AE517" s="656" t="s">
        <v>3297</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61"/>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3570</v>
      </c>
      <c r="BZ517" s="1426"/>
      <c r="CA517" s="13" t="s">
        <v>3896</v>
      </c>
      <c r="CB517" s="13"/>
      <c r="CC517" s="13"/>
      <c r="CD517" s="13"/>
      <c r="CE517" s="1246" t="s">
        <v>2094</v>
      </c>
      <c r="CF517" s="38"/>
    </row>
    <row r="518" spans="1:84" ht="73.5" hidden="1" customHeight="1">
      <c r="A518" s="1467"/>
      <c r="B518" s="22"/>
      <c r="C518" s="1474">
        <v>44494</v>
      </c>
      <c r="D518" s="1474"/>
      <c r="E518" s="921"/>
      <c r="F518" s="921"/>
      <c r="G518" s="925">
        <v>44408</v>
      </c>
      <c r="H518" s="1793"/>
      <c r="I518" s="331">
        <v>44309</v>
      </c>
      <c r="J518" s="331"/>
      <c r="K518" s="169">
        <v>2020</v>
      </c>
      <c r="L518" s="1446">
        <v>206.31</v>
      </c>
      <c r="M518" s="1446"/>
      <c r="N518" s="170" t="s">
        <v>866</v>
      </c>
      <c r="O518" s="178" t="s">
        <v>3360</v>
      </c>
      <c r="P518" s="172" t="s">
        <v>3215</v>
      </c>
      <c r="Q518" s="173" t="s">
        <v>3362</v>
      </c>
      <c r="R518" s="173" t="s">
        <v>1975</v>
      </c>
      <c r="S518" s="174">
        <v>4629575.57</v>
      </c>
      <c r="T518" s="998">
        <v>44110</v>
      </c>
      <c r="U518" s="176">
        <v>44164</v>
      </c>
      <c r="V518" s="177">
        <v>44185</v>
      </c>
      <c r="W518" s="105">
        <v>44109</v>
      </c>
      <c r="X518" s="178" t="s">
        <v>3299</v>
      </c>
      <c r="Y518" s="170" t="s">
        <v>3050</v>
      </c>
      <c r="Z518" s="600" t="s">
        <v>351</v>
      </c>
      <c r="AA518" s="1402" t="s">
        <v>3868</v>
      </c>
      <c r="AB518" s="242" t="s">
        <v>3298</v>
      </c>
      <c r="AC518" s="8">
        <v>44049</v>
      </c>
      <c r="AD518" s="4">
        <v>10000000</v>
      </c>
      <c r="AE518" s="1427" t="s">
        <v>3297</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61"/>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3570</v>
      </c>
      <c r="BZ518" s="1334"/>
      <c r="CA518" s="13"/>
      <c r="CB518" s="13"/>
      <c r="CC518" s="13"/>
      <c r="CD518" s="13"/>
      <c r="CE518" s="1246" t="s">
        <v>2094</v>
      </c>
      <c r="CF518" s="38"/>
    </row>
    <row r="519" spans="1:84" ht="74.25" hidden="1" customHeight="1">
      <c r="A519" s="1467"/>
      <c r="B519" s="22"/>
      <c r="C519" s="22"/>
      <c r="D519" s="22"/>
      <c r="E519" s="921"/>
      <c r="F519" s="921"/>
      <c r="G519" s="925">
        <v>44408</v>
      </c>
      <c r="H519" s="1793"/>
      <c r="I519" s="331">
        <v>44295</v>
      </c>
      <c r="J519" s="331"/>
      <c r="K519" s="169">
        <v>2020</v>
      </c>
      <c r="L519" s="1446">
        <v>206.32</v>
      </c>
      <c r="M519" s="1446"/>
      <c r="N519" s="170" t="s">
        <v>76</v>
      </c>
      <c r="O519" s="178" t="s">
        <v>3300</v>
      </c>
      <c r="P519" s="172" t="s">
        <v>78</v>
      </c>
      <c r="Q519" s="173" t="s">
        <v>3301</v>
      </c>
      <c r="R519" s="173" t="s">
        <v>4412</v>
      </c>
      <c r="S519" s="174">
        <v>287771.56</v>
      </c>
      <c r="T519" s="582">
        <v>44155</v>
      </c>
      <c r="U519" s="176">
        <v>44165</v>
      </c>
      <c r="V519" s="177">
        <v>44180</v>
      </c>
      <c r="W519" s="105">
        <v>44154</v>
      </c>
      <c r="X519" s="178" t="s">
        <v>2807</v>
      </c>
      <c r="Y519" s="170" t="s">
        <v>3050</v>
      </c>
      <c r="Z519" s="600">
        <v>44057</v>
      </c>
      <c r="AA519" s="1402"/>
      <c r="AB519" s="33" t="s">
        <v>3302</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3733</v>
      </c>
      <c r="BZ519" s="1272"/>
      <c r="CA519" s="1276" t="s">
        <v>73</v>
      </c>
      <c r="CB519" s="158" t="s">
        <v>550</v>
      </c>
      <c r="CC519" s="1275" t="s">
        <v>3546</v>
      </c>
      <c r="CD519" s="1275"/>
      <c r="CE519" s="1246" t="s">
        <v>2094</v>
      </c>
      <c r="CF519" s="38"/>
    </row>
    <row r="520" spans="1:84" ht="78.75" hidden="1" customHeight="1">
      <c r="A520" s="1467"/>
      <c r="B520" s="22"/>
      <c r="C520" s="22"/>
      <c r="D520" s="22"/>
      <c r="E520" s="921"/>
      <c r="F520" s="921"/>
      <c r="G520" s="925">
        <v>44358</v>
      </c>
      <c r="H520" s="1793"/>
      <c r="I520" s="331">
        <v>44250</v>
      </c>
      <c r="J520" s="331"/>
      <c r="K520" s="169">
        <v>2020</v>
      </c>
      <c r="L520" s="1446">
        <v>206.33</v>
      </c>
      <c r="M520" s="1446"/>
      <c r="N520" s="170" t="s">
        <v>3303</v>
      </c>
      <c r="O520" s="178" t="s">
        <v>3304</v>
      </c>
      <c r="P520" s="172" t="s">
        <v>78</v>
      </c>
      <c r="Q520" s="173" t="s">
        <v>3648</v>
      </c>
      <c r="R520" s="173" t="s">
        <v>1975</v>
      </c>
      <c r="S520" s="174">
        <v>1600000</v>
      </c>
      <c r="T520" s="582">
        <v>44158</v>
      </c>
      <c r="U520" s="176">
        <v>44166</v>
      </c>
      <c r="V520" s="177">
        <v>44189</v>
      </c>
      <c r="W520" s="105">
        <v>44155</v>
      </c>
      <c r="X520" s="178" t="s">
        <v>3305</v>
      </c>
      <c r="Y520" s="170" t="s">
        <v>1106</v>
      </c>
      <c r="Z520" s="201" t="s">
        <v>1427</v>
      </c>
      <c r="AA520" s="369"/>
      <c r="AB520" s="33" t="s">
        <v>3306</v>
      </c>
      <c r="AC520" s="8">
        <v>44153</v>
      </c>
      <c r="AD520" s="4">
        <v>1600000</v>
      </c>
      <c r="AE520" s="4"/>
      <c r="AF520" s="32"/>
      <c r="AG520" s="34" t="s">
        <v>67</v>
      </c>
      <c r="AH520" s="112" t="s">
        <v>67</v>
      </c>
      <c r="AI520" s="112" t="s">
        <v>67</v>
      </c>
      <c r="AJ520" s="7" t="s">
        <v>67</v>
      </c>
      <c r="AK520" s="109" t="s">
        <v>67</v>
      </c>
      <c r="AL520" s="33" t="s">
        <v>3576</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909"/>
      <c r="BM520" s="1121"/>
      <c r="BN520" s="1342">
        <v>44178</v>
      </c>
      <c r="BO520" s="1342">
        <v>44178</v>
      </c>
      <c r="BP520" s="1112" t="s">
        <v>67</v>
      </c>
      <c r="BQ520" s="219" t="s">
        <v>73</v>
      </c>
      <c r="BR520" s="219" t="s">
        <v>73</v>
      </c>
      <c r="BS520" s="924" t="s">
        <v>73</v>
      </c>
      <c r="BT520" s="1342">
        <v>44253</v>
      </c>
      <c r="BU520" s="1343"/>
      <c r="BV520" s="1113" t="s">
        <v>3773</v>
      </c>
      <c r="BW520" s="1345"/>
      <c r="BX520" s="13"/>
      <c r="BY520" s="1346" t="s">
        <v>3570</v>
      </c>
      <c r="BZ520" s="1346"/>
      <c r="CA520" s="13"/>
      <c r="CB520" s="13"/>
      <c r="CC520" s="13"/>
      <c r="CD520" s="13"/>
      <c r="CE520" s="1246" t="s">
        <v>2094</v>
      </c>
      <c r="CF520" s="38"/>
    </row>
    <row r="521" spans="1:84" ht="88.5" hidden="1" customHeight="1">
      <c r="A521" s="1467"/>
      <c r="B521" s="22"/>
      <c r="C521" s="22"/>
      <c r="D521" s="22"/>
      <c r="E521" s="921"/>
      <c r="F521" s="921"/>
      <c r="G521" s="925">
        <v>44278</v>
      </c>
      <c r="H521" s="1793"/>
      <c r="I521" s="331">
        <v>44295</v>
      </c>
      <c r="J521" s="331"/>
      <c r="K521" s="169">
        <v>2020</v>
      </c>
      <c r="L521" s="1446">
        <v>206.34</v>
      </c>
      <c r="M521" s="1446"/>
      <c r="N521" s="170" t="s">
        <v>76</v>
      </c>
      <c r="O521" s="178" t="s">
        <v>3307</v>
      </c>
      <c r="P521" s="172" t="s">
        <v>78</v>
      </c>
      <c r="Q521" s="173" t="s">
        <v>3308</v>
      </c>
      <c r="R521" s="173" t="s">
        <v>1975</v>
      </c>
      <c r="S521" s="174">
        <v>914194.81</v>
      </c>
      <c r="T521" s="582">
        <v>44168</v>
      </c>
      <c r="U521" s="176">
        <v>44169</v>
      </c>
      <c r="V521" s="177">
        <v>44180</v>
      </c>
      <c r="W521" s="105">
        <v>44167</v>
      </c>
      <c r="X521" s="178" t="s">
        <v>2850</v>
      </c>
      <c r="Y521" s="170" t="s">
        <v>983</v>
      </c>
      <c r="Z521" s="462" t="s">
        <v>73</v>
      </c>
      <c r="AA521" s="1400"/>
      <c r="AB521" s="256" t="s">
        <v>3309</v>
      </c>
      <c r="AC521" s="8">
        <v>44153</v>
      </c>
      <c r="AD521" s="4">
        <v>570635.42000000004</v>
      </c>
      <c r="AE521" s="656" t="s">
        <v>3310</v>
      </c>
      <c r="AF521" s="32">
        <v>559187.35</v>
      </c>
      <c r="AG521" s="34" t="s">
        <v>67</v>
      </c>
      <c r="AH521" s="112" t="s">
        <v>67</v>
      </c>
      <c r="AI521" s="112" t="s">
        <v>67</v>
      </c>
      <c r="AJ521" s="7" t="s">
        <v>67</v>
      </c>
      <c r="AK521" s="109" t="s">
        <v>67</v>
      </c>
      <c r="AL521" s="33" t="s">
        <v>1010</v>
      </c>
      <c r="AM521" s="2" t="s">
        <v>3548</v>
      </c>
      <c r="AN521" s="239">
        <v>44168</v>
      </c>
      <c r="AO521" s="2" t="s">
        <v>3549</v>
      </c>
      <c r="AP521" s="239">
        <v>44168</v>
      </c>
      <c r="AQ521" s="2" t="s">
        <v>3550</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3733</v>
      </c>
      <c r="BZ521" s="1280"/>
      <c r="CA521" s="158" t="s">
        <v>550</v>
      </c>
      <c r="CB521" s="158" t="s">
        <v>550</v>
      </c>
      <c r="CC521" s="158" t="s">
        <v>3551</v>
      </c>
      <c r="CD521" s="158"/>
      <c r="CE521" s="1246" t="s">
        <v>2094</v>
      </c>
      <c r="CF521" s="38"/>
    </row>
    <row r="522" spans="1:84" ht="68.25" hidden="1" customHeight="1">
      <c r="A522" s="1467"/>
      <c r="B522" s="22"/>
      <c r="C522" s="22"/>
      <c r="D522" s="22"/>
      <c r="E522" s="921"/>
      <c r="F522" s="921"/>
      <c r="G522" s="925">
        <v>44375</v>
      </c>
      <c r="H522" s="1793"/>
      <c r="I522" s="331">
        <v>44378</v>
      </c>
      <c r="J522" s="331"/>
      <c r="K522" s="169">
        <v>2020</v>
      </c>
      <c r="L522" s="1446">
        <v>206.35</v>
      </c>
      <c r="M522" s="1446"/>
      <c r="N522" s="170" t="s">
        <v>2683</v>
      </c>
      <c r="O522" s="178" t="s">
        <v>3311</v>
      </c>
      <c r="P522" s="172" t="s">
        <v>78</v>
      </c>
      <c r="Q522" s="173" t="s">
        <v>3365</v>
      </c>
      <c r="R522" s="173" t="s">
        <v>1975</v>
      </c>
      <c r="S522" s="586">
        <v>537866.98</v>
      </c>
      <c r="T522" s="582">
        <v>44195</v>
      </c>
      <c r="U522" s="176">
        <v>44195</v>
      </c>
      <c r="V522" s="177">
        <v>44227</v>
      </c>
      <c r="W522" s="105">
        <v>44560</v>
      </c>
      <c r="X522" s="178" t="s">
        <v>1318</v>
      </c>
      <c r="Y522" s="170" t="s">
        <v>212</v>
      </c>
      <c r="Z522" s="462" t="s">
        <v>73</v>
      </c>
      <c r="AA522" s="1400"/>
      <c r="AB522" s="115" t="s">
        <v>3838</v>
      </c>
      <c r="AC522" s="8">
        <v>44195</v>
      </c>
      <c r="AD522" s="4">
        <f>2775548.6+1719336.12</f>
        <v>4494884.7200000007</v>
      </c>
      <c r="AE522" s="4"/>
      <c r="AF522" s="32"/>
      <c r="AG522" s="34" t="s">
        <v>67</v>
      </c>
      <c r="AH522" s="112" t="s">
        <v>67</v>
      </c>
      <c r="AI522" s="112" t="s">
        <v>67</v>
      </c>
      <c r="AJ522" s="7" t="s">
        <v>67</v>
      </c>
      <c r="AK522" s="109" t="s">
        <v>67</v>
      </c>
      <c r="AL522" s="33" t="s">
        <v>1010</v>
      </c>
      <c r="AM522" s="2" t="s">
        <v>3839</v>
      </c>
      <c r="AN522" s="5">
        <v>44195</v>
      </c>
      <c r="AO522" s="1" t="s">
        <v>3840</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3733</v>
      </c>
      <c r="BZ522" s="1280"/>
      <c r="CA522" s="1284" t="s">
        <v>73</v>
      </c>
      <c r="CB522" s="1284" t="s">
        <v>73</v>
      </c>
      <c r="CC522" s="13" t="s">
        <v>3841</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3312</v>
      </c>
      <c r="P523" s="789" t="s">
        <v>250</v>
      </c>
      <c r="Q523" s="1078" t="s">
        <v>3975</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54"/>
      <c r="BG523" s="1093"/>
      <c r="BH523" s="1093"/>
      <c r="BI523" s="1093"/>
      <c r="BJ523" s="1103">
        <f>AT523+AU523</f>
        <v>0</v>
      </c>
      <c r="BK523" s="1104"/>
      <c r="BL523" s="1905"/>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93"/>
      <c r="I524" s="331">
        <v>44358</v>
      </c>
      <c r="J524" s="331"/>
      <c r="K524" s="169">
        <v>2020</v>
      </c>
      <c r="L524" s="1446">
        <v>206.37</v>
      </c>
      <c r="M524" s="1446"/>
      <c r="N524" s="170" t="s">
        <v>76</v>
      </c>
      <c r="O524" s="178" t="s">
        <v>3313</v>
      </c>
      <c r="P524" s="172" t="s">
        <v>78</v>
      </c>
      <c r="Q524" s="173" t="s">
        <v>3314</v>
      </c>
      <c r="R524" s="173" t="s">
        <v>1975</v>
      </c>
      <c r="S524" s="174">
        <v>229496.26</v>
      </c>
      <c r="T524" s="582">
        <v>44168</v>
      </c>
      <c r="U524" s="176">
        <v>44172</v>
      </c>
      <c r="V524" s="177">
        <v>44184</v>
      </c>
      <c r="W524" s="105">
        <v>44167</v>
      </c>
      <c r="X524" s="178" t="s">
        <v>3315</v>
      </c>
      <c r="Y524" s="170" t="s">
        <v>3771</v>
      </c>
      <c r="Z524" s="600">
        <v>44165</v>
      </c>
      <c r="AA524" s="1402"/>
      <c r="AB524" s="33" t="s">
        <v>3316</v>
      </c>
      <c r="AC524" s="8">
        <v>44180</v>
      </c>
      <c r="AD524" s="4">
        <v>229496.26</v>
      </c>
      <c r="AE524" s="4"/>
      <c r="AF524" s="32"/>
      <c r="AG524" s="34" t="s">
        <v>67</v>
      </c>
      <c r="AH524" s="112" t="s">
        <v>67</v>
      </c>
      <c r="AI524" s="112" t="s">
        <v>67</v>
      </c>
      <c r="AJ524" s="7" t="s">
        <v>67</v>
      </c>
      <c r="AK524" s="109" t="s">
        <v>67</v>
      </c>
      <c r="AL524" s="33" t="s">
        <v>3769</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3546</v>
      </c>
      <c r="CD524" s="13"/>
      <c r="CE524" s="1246" t="s">
        <v>2094</v>
      </c>
      <c r="CF524" s="38"/>
    </row>
    <row r="525" spans="1:84" ht="125.25" hidden="1" customHeight="1">
      <c r="A525" s="1467"/>
      <c r="B525" s="22"/>
      <c r="C525" s="22"/>
      <c r="D525" s="22"/>
      <c r="E525" s="921"/>
      <c r="F525" s="921"/>
      <c r="G525" s="925"/>
      <c r="H525" s="1793"/>
      <c r="I525" s="331"/>
      <c r="J525" s="331"/>
      <c r="K525" s="169">
        <v>2020</v>
      </c>
      <c r="L525" s="1446">
        <v>206.38</v>
      </c>
      <c r="M525" s="1446"/>
      <c r="N525" s="170" t="s">
        <v>165</v>
      </c>
      <c r="O525" s="178" t="s">
        <v>3317</v>
      </c>
      <c r="P525" s="172" t="s">
        <v>78</v>
      </c>
      <c r="Q525" s="173" t="s">
        <v>3318</v>
      </c>
      <c r="R525" s="173" t="s">
        <v>2518</v>
      </c>
      <c r="S525" s="174">
        <v>868714.16</v>
      </c>
      <c r="T525" s="1217">
        <v>44548</v>
      </c>
      <c r="U525" s="176">
        <v>44194</v>
      </c>
      <c r="V525" s="177">
        <v>44284</v>
      </c>
      <c r="W525" s="667">
        <v>44181</v>
      </c>
      <c r="X525" s="178" t="s">
        <v>1318</v>
      </c>
      <c r="Y525" s="170" t="s">
        <v>212</v>
      </c>
      <c r="Z525" s="201" t="s">
        <v>1427</v>
      </c>
      <c r="AA525" s="369"/>
      <c r="AB525" s="256" t="s">
        <v>3829</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3733</v>
      </c>
      <c r="BZ525" s="1280"/>
      <c r="CA525" s="13"/>
      <c r="CB525" s="13"/>
      <c r="CC525" s="13"/>
      <c r="CD525" s="13"/>
      <c r="CE525" s="1246" t="s">
        <v>2094</v>
      </c>
      <c r="CF525" s="38"/>
    </row>
    <row r="526" spans="1:84" ht="150.75" hidden="1" customHeight="1">
      <c r="A526" s="1467"/>
      <c r="B526" s="22"/>
      <c r="C526" s="1685"/>
      <c r="D526" s="1685"/>
      <c r="E526" s="921">
        <v>44440</v>
      </c>
      <c r="F526" s="921"/>
      <c r="G526" s="925"/>
      <c r="H526" s="1793"/>
      <c r="I526" s="331"/>
      <c r="J526" s="331"/>
      <c r="K526" s="169">
        <v>2021</v>
      </c>
      <c r="L526" s="1446">
        <v>211004</v>
      </c>
      <c r="M526" s="1446"/>
      <c r="N526" s="170" t="s">
        <v>866</v>
      </c>
      <c r="O526" s="178" t="s">
        <v>3822</v>
      </c>
      <c r="P526" s="172" t="s">
        <v>466</v>
      </c>
      <c r="Q526" s="173" t="s">
        <v>3823</v>
      </c>
      <c r="R526" s="173" t="s">
        <v>2578</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87"/>
      <c r="D527" s="1687"/>
      <c r="E527" s="1009"/>
      <c r="F527" s="1009"/>
      <c r="G527" s="123"/>
      <c r="H527" s="1885"/>
      <c r="I527" s="612"/>
      <c r="J527" s="612"/>
      <c r="K527" s="1010">
        <v>2021</v>
      </c>
      <c r="L527" s="1448">
        <v>212001</v>
      </c>
      <c r="M527" s="1448"/>
      <c r="N527" s="613" t="s">
        <v>165</v>
      </c>
      <c r="O527" s="618" t="s">
        <v>3441</v>
      </c>
      <c r="P527" s="646" t="s">
        <v>250</v>
      </c>
      <c r="Q527" s="647" t="s">
        <v>3481</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74"/>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3733</v>
      </c>
      <c r="BZ527" s="1280"/>
      <c r="CA527" s="102"/>
      <c r="CB527" s="102"/>
      <c r="CC527" s="102"/>
      <c r="CD527" s="102"/>
      <c r="CE527" s="1432" t="s">
        <v>2094</v>
      </c>
      <c r="CF527" s="864" t="s">
        <v>3919</v>
      </c>
    </row>
    <row r="528" spans="1:84" ht="117.75" hidden="1" customHeight="1">
      <c r="A528" s="1467"/>
      <c r="B528" s="22"/>
      <c r="C528" s="1685"/>
      <c r="D528" s="1685"/>
      <c r="E528" s="921">
        <v>44440</v>
      </c>
      <c r="F528" s="921"/>
      <c r="G528" s="925">
        <v>44655</v>
      </c>
      <c r="H528" s="1793"/>
      <c r="I528" s="331">
        <v>37298</v>
      </c>
      <c r="J528" s="331"/>
      <c r="K528" s="169">
        <v>2021</v>
      </c>
      <c r="L528" s="1446">
        <v>212002</v>
      </c>
      <c r="M528" s="1446"/>
      <c r="N528" s="170" t="s">
        <v>165</v>
      </c>
      <c r="O528" s="178" t="s">
        <v>3442</v>
      </c>
      <c r="P528" s="148" t="s">
        <v>4035</v>
      </c>
      <c r="Q528" s="173" t="s">
        <v>3482</v>
      </c>
      <c r="R528" s="173" t="s">
        <v>3626</v>
      </c>
      <c r="S528" s="174">
        <v>650000</v>
      </c>
      <c r="T528" s="175">
        <v>44221</v>
      </c>
      <c r="U528" s="176">
        <v>44222</v>
      </c>
      <c r="V528" s="177">
        <v>44377</v>
      </c>
      <c r="W528" s="105" t="s">
        <v>67</v>
      </c>
      <c r="X528" s="178" t="s">
        <v>1176</v>
      </c>
      <c r="Y528" s="170" t="s">
        <v>3652</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3733</v>
      </c>
      <c r="BZ528" s="1331"/>
      <c r="CA528" s="13"/>
      <c r="CB528" s="13"/>
      <c r="CC528" s="13"/>
      <c r="CD528" s="13"/>
      <c r="CE528" s="1246" t="s">
        <v>2094</v>
      </c>
      <c r="CF528" s="38"/>
    </row>
    <row r="529" spans="1:84" ht="137.25" hidden="1" customHeight="1">
      <c r="A529" s="1467"/>
      <c r="B529" s="22"/>
      <c r="C529" s="1685"/>
      <c r="D529" s="1685"/>
      <c r="E529" s="921">
        <v>44805</v>
      </c>
      <c r="F529" s="921">
        <v>44805</v>
      </c>
      <c r="G529" s="925">
        <v>44735</v>
      </c>
      <c r="H529" s="1793"/>
      <c r="I529" s="331"/>
      <c r="J529" s="331"/>
      <c r="K529" s="169">
        <v>2021</v>
      </c>
      <c r="L529" s="1446">
        <v>212003</v>
      </c>
      <c r="M529" s="1446"/>
      <c r="N529" s="170" t="s">
        <v>76</v>
      </c>
      <c r="O529" s="178" t="s">
        <v>3443</v>
      </c>
      <c r="P529" s="148" t="s">
        <v>4035</v>
      </c>
      <c r="Q529" s="173" t="s">
        <v>3460</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3803</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60"/>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85"/>
      <c r="D530" s="1685"/>
      <c r="E530" s="921">
        <v>44440</v>
      </c>
      <c r="F530" s="921">
        <v>44440</v>
      </c>
      <c r="G530" s="925">
        <v>44655</v>
      </c>
      <c r="H530" s="1793"/>
      <c r="I530" s="331"/>
      <c r="J530" s="331"/>
      <c r="K530" s="169">
        <v>2021</v>
      </c>
      <c r="L530" s="1446">
        <v>212004</v>
      </c>
      <c r="M530" s="1446"/>
      <c r="N530" s="170" t="s">
        <v>165</v>
      </c>
      <c r="O530" s="178" t="s">
        <v>3444</v>
      </c>
      <c r="P530" s="148" t="s">
        <v>4035</v>
      </c>
      <c r="Q530" s="173" t="s">
        <v>3483</v>
      </c>
      <c r="R530" s="173" t="s">
        <v>1975</v>
      </c>
      <c r="S530" s="174">
        <v>27000</v>
      </c>
      <c r="T530" s="175">
        <v>44225</v>
      </c>
      <c r="U530" s="176">
        <v>44228</v>
      </c>
      <c r="V530" s="177">
        <v>44250</v>
      </c>
      <c r="W530" s="105" t="s">
        <v>67</v>
      </c>
      <c r="X530" s="178" t="s">
        <v>1176</v>
      </c>
      <c r="Y530" s="170" t="s">
        <v>3050</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3733</v>
      </c>
      <c r="BZ530" s="1280"/>
      <c r="CA530" s="13"/>
      <c r="CB530" s="13"/>
      <c r="CC530" s="13"/>
      <c r="CD530" s="13"/>
      <c r="CE530" s="1246" t="s">
        <v>2094</v>
      </c>
      <c r="CF530" s="38"/>
    </row>
    <row r="531" spans="1:84" ht="99" hidden="1" customHeight="1">
      <c r="A531" s="1467"/>
      <c r="B531" s="22"/>
      <c r="C531" s="1685"/>
      <c r="D531" s="1685"/>
      <c r="E531" s="921">
        <v>44440</v>
      </c>
      <c r="F531" s="921">
        <v>44440</v>
      </c>
      <c r="G531" s="925">
        <v>44655</v>
      </c>
      <c r="H531" s="1793"/>
      <c r="I531" s="331"/>
      <c r="J531" s="331"/>
      <c r="K531" s="169">
        <v>2021</v>
      </c>
      <c r="L531" s="1446">
        <v>212005</v>
      </c>
      <c r="M531" s="1446"/>
      <c r="N531" s="170" t="s">
        <v>165</v>
      </c>
      <c r="O531" s="178" t="s">
        <v>3445</v>
      </c>
      <c r="P531" s="148" t="s">
        <v>4035</v>
      </c>
      <c r="Q531" s="173" t="s">
        <v>3484</v>
      </c>
      <c r="R531" s="173" t="s">
        <v>4413</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3733</v>
      </c>
      <c r="BZ531" s="1280"/>
      <c r="CA531" s="13"/>
      <c r="CB531" s="13"/>
      <c r="CC531" s="13"/>
      <c r="CD531" s="13"/>
      <c r="CE531" s="1246" t="s">
        <v>2094</v>
      </c>
      <c r="CF531" s="38"/>
    </row>
    <row r="532" spans="1:84" s="1072" customFormat="1" ht="37.5" hidden="1" customHeight="1">
      <c r="B532" s="1073"/>
      <c r="C532" s="1688"/>
      <c r="D532" s="1688"/>
      <c r="E532" s="1074"/>
      <c r="F532" s="1074"/>
      <c r="G532" s="556"/>
      <c r="H532" s="612"/>
      <c r="I532" s="612"/>
      <c r="J532" s="612"/>
      <c r="K532" s="1075">
        <v>2021</v>
      </c>
      <c r="L532" s="1449">
        <v>212006</v>
      </c>
      <c r="M532" s="1449"/>
      <c r="N532" s="1076"/>
      <c r="O532" s="1077" t="s">
        <v>3446</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54"/>
      <c r="BG532" s="1093"/>
      <c r="BH532" s="1093"/>
      <c r="BI532" s="1093"/>
      <c r="BJ532" s="1103">
        <f t="shared" si="17"/>
        <v>0</v>
      </c>
      <c r="BK532" s="1104" t="s">
        <v>67</v>
      </c>
      <c r="BL532" s="1905"/>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87"/>
      <c r="D533" s="1687"/>
      <c r="E533" s="1009"/>
      <c r="F533" s="1009"/>
      <c r="G533" s="123"/>
      <c r="H533" s="1885"/>
      <c r="I533" s="612"/>
      <c r="J533" s="612"/>
      <c r="K533" s="1010">
        <v>2021</v>
      </c>
      <c r="L533" s="1448">
        <v>212007</v>
      </c>
      <c r="M533" s="1448"/>
      <c r="N533" s="613" t="s">
        <v>165</v>
      </c>
      <c r="O533" s="618" t="s">
        <v>3918</v>
      </c>
      <c r="P533" s="646" t="s">
        <v>250</v>
      </c>
      <c r="Q533" s="647" t="s">
        <v>3900</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74"/>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3919</v>
      </c>
    </row>
    <row r="534" spans="1:84" ht="89.25" hidden="1" customHeight="1">
      <c r="A534" s="1467"/>
      <c r="B534" s="22"/>
      <c r="C534" s="1685"/>
      <c r="D534" s="1685"/>
      <c r="E534" s="921">
        <v>44805</v>
      </c>
      <c r="F534" s="921">
        <v>44440</v>
      </c>
      <c r="G534" s="925">
        <v>44452</v>
      </c>
      <c r="H534" s="1793"/>
      <c r="I534" s="331">
        <v>44452</v>
      </c>
      <c r="J534" s="331"/>
      <c r="K534" s="169">
        <v>2021</v>
      </c>
      <c r="L534" s="1446">
        <v>212008</v>
      </c>
      <c r="M534" s="1446"/>
      <c r="N534" s="170" t="s">
        <v>76</v>
      </c>
      <c r="O534" s="178" t="s">
        <v>3447</v>
      </c>
      <c r="P534" s="148" t="s">
        <v>4035</v>
      </c>
      <c r="Q534" s="173" t="s">
        <v>3894</v>
      </c>
      <c r="R534" s="173" t="s">
        <v>2515</v>
      </c>
      <c r="S534" s="174">
        <v>113778.58</v>
      </c>
      <c r="T534" s="175">
        <v>44356</v>
      </c>
      <c r="U534" s="176">
        <v>44361</v>
      </c>
      <c r="V534" s="177">
        <v>44379</v>
      </c>
      <c r="W534" s="105" t="s">
        <v>67</v>
      </c>
      <c r="X534" s="178" t="s">
        <v>1176</v>
      </c>
      <c r="Y534" s="170" t="s">
        <v>304</v>
      </c>
      <c r="Z534" s="1400" t="s">
        <v>73</v>
      </c>
      <c r="AA534" s="1400" t="s">
        <v>73</v>
      </c>
      <c r="AB534" s="33" t="s">
        <v>3895</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85"/>
      <c r="D535" s="1685"/>
      <c r="E535" s="921"/>
      <c r="F535" s="921"/>
      <c r="G535" s="925"/>
      <c r="H535" s="1793"/>
      <c r="I535" s="331"/>
      <c r="J535" s="331"/>
      <c r="K535" s="169">
        <v>2021</v>
      </c>
      <c r="L535" s="1446">
        <v>212009</v>
      </c>
      <c r="M535" s="1446"/>
      <c r="N535" s="170" t="s">
        <v>165</v>
      </c>
      <c r="O535" s="178" t="s">
        <v>3448</v>
      </c>
      <c r="P535" s="172" t="s">
        <v>250</v>
      </c>
      <c r="Q535" s="173" t="s">
        <v>3901</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88"/>
      <c r="D536" s="1688"/>
      <c r="E536" s="1074"/>
      <c r="F536" s="1074"/>
      <c r="G536" s="556"/>
      <c r="H536" s="612"/>
      <c r="I536" s="612"/>
      <c r="J536" s="612"/>
      <c r="K536" s="1075">
        <v>2021</v>
      </c>
      <c r="L536" s="1449">
        <v>212010</v>
      </c>
      <c r="M536" s="1449"/>
      <c r="N536" s="1076"/>
      <c r="O536" s="1077" t="s">
        <v>3972</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54"/>
      <c r="BG536" s="1093"/>
      <c r="BH536" s="1093"/>
      <c r="BI536" s="1093"/>
      <c r="BJ536" s="1103"/>
      <c r="BK536" s="1104"/>
      <c r="BL536" s="1905"/>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85"/>
      <c r="D537" s="1685"/>
      <c r="E537" s="921">
        <v>44440</v>
      </c>
      <c r="F537" s="921">
        <v>44228</v>
      </c>
      <c r="G537" s="925">
        <v>44467</v>
      </c>
      <c r="H537" s="1793"/>
      <c r="I537" s="331"/>
      <c r="J537" s="331"/>
      <c r="K537" s="169">
        <v>2021</v>
      </c>
      <c r="L537" s="1446">
        <v>212011</v>
      </c>
      <c r="M537" s="1446"/>
      <c r="N537" s="170" t="s">
        <v>165</v>
      </c>
      <c r="O537" s="178" t="s">
        <v>3897</v>
      </c>
      <c r="P537" s="148" t="s">
        <v>4035</v>
      </c>
      <c r="Q537" s="173" t="s">
        <v>3902</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88"/>
      <c r="D538" s="1688"/>
      <c r="E538" s="1074"/>
      <c r="F538" s="1074"/>
      <c r="G538" s="556"/>
      <c r="H538" s="612"/>
      <c r="I538" s="612"/>
      <c r="J538" s="612"/>
      <c r="K538" s="1075">
        <v>2021</v>
      </c>
      <c r="L538" s="1449">
        <v>212012</v>
      </c>
      <c r="M538" s="1449"/>
      <c r="N538" s="1076" t="s">
        <v>3355</v>
      </c>
      <c r="O538" s="1077" t="s">
        <v>3898</v>
      </c>
      <c r="P538" s="789" t="s">
        <v>250</v>
      </c>
      <c r="Q538" s="1078" t="s">
        <v>3903</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54"/>
      <c r="BG538" s="1093"/>
      <c r="BH538" s="1093"/>
      <c r="BI538" s="1093"/>
      <c r="BJ538" s="1103">
        <f>AT538+AU538</f>
        <v>0</v>
      </c>
      <c r="BK538" s="1104" t="s">
        <v>67</v>
      </c>
      <c r="BL538" s="1905"/>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85"/>
      <c r="D539" s="1685"/>
      <c r="E539" s="921">
        <v>44805</v>
      </c>
      <c r="F539" s="921">
        <v>44805</v>
      </c>
      <c r="G539" s="925">
        <v>44652</v>
      </c>
      <c r="H539" s="1793"/>
      <c r="I539" s="331"/>
      <c r="J539" s="331"/>
      <c r="K539" s="169">
        <v>2021</v>
      </c>
      <c r="L539" s="1446">
        <v>212013</v>
      </c>
      <c r="M539" s="1446"/>
      <c r="N539" s="170" t="s">
        <v>165</v>
      </c>
      <c r="O539" s="178" t="s">
        <v>3899</v>
      </c>
      <c r="P539" s="148" t="s">
        <v>4035</v>
      </c>
      <c r="Q539" s="173" t="s">
        <v>3904</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85"/>
      <c r="D540" s="1685"/>
      <c r="E540" s="921">
        <v>44805</v>
      </c>
      <c r="F540" s="921">
        <v>44805</v>
      </c>
      <c r="G540" s="925"/>
      <c r="H540" s="1793"/>
      <c r="I540" s="331"/>
      <c r="J540" s="331"/>
      <c r="K540" s="169">
        <v>2021</v>
      </c>
      <c r="L540" s="1446">
        <v>212014</v>
      </c>
      <c r="M540" s="1446"/>
      <c r="N540" s="170" t="s">
        <v>3239</v>
      </c>
      <c r="O540" s="178" t="s">
        <v>4051</v>
      </c>
      <c r="P540" s="148" t="s">
        <v>4035</v>
      </c>
      <c r="Q540" s="173" t="s">
        <v>4058</v>
      </c>
      <c r="R540" s="173" t="s">
        <v>2541</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86">
        <v>45068</v>
      </c>
      <c r="D541" s="1686" t="s">
        <v>4997</v>
      </c>
      <c r="E541" s="921">
        <v>44805</v>
      </c>
      <c r="F541" s="921">
        <v>44805</v>
      </c>
      <c r="G541" s="925">
        <v>44687</v>
      </c>
      <c r="H541" s="1793"/>
      <c r="I541" s="331">
        <v>44750</v>
      </c>
      <c r="J541" s="331"/>
      <c r="K541" s="169">
        <v>2021</v>
      </c>
      <c r="L541" s="1446">
        <v>212015</v>
      </c>
      <c r="M541" s="1446"/>
      <c r="N541" s="170" t="s">
        <v>3239</v>
      </c>
      <c r="O541" s="178" t="s">
        <v>4052</v>
      </c>
      <c r="P541" s="148" t="s">
        <v>4035</v>
      </c>
      <c r="Q541" s="1487" t="s">
        <v>4059</v>
      </c>
      <c r="R541" s="1487" t="s">
        <v>2515</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89" t="s">
        <v>4994</v>
      </c>
    </row>
    <row r="542" spans="1:84" ht="60.75" hidden="1" customHeight="1">
      <c r="A542" s="1467"/>
      <c r="B542" s="22"/>
      <c r="C542" s="1686">
        <v>45068</v>
      </c>
      <c r="D542" s="1686" t="s">
        <v>4998</v>
      </c>
      <c r="E542" s="921">
        <v>44805</v>
      </c>
      <c r="F542" s="921">
        <v>44805</v>
      </c>
      <c r="G542" s="925">
        <v>44687</v>
      </c>
      <c r="H542" s="1793"/>
      <c r="I542" s="331">
        <v>44750</v>
      </c>
      <c r="J542" s="331"/>
      <c r="K542" s="169">
        <v>2021</v>
      </c>
      <c r="L542" s="1446">
        <v>212016</v>
      </c>
      <c r="M542" s="1446"/>
      <c r="N542" s="170" t="s">
        <v>3239</v>
      </c>
      <c r="O542" s="178" t="s">
        <v>4053</v>
      </c>
      <c r="P542" s="148" t="s">
        <v>4035</v>
      </c>
      <c r="Q542" s="1487" t="s">
        <v>4060</v>
      </c>
      <c r="R542" s="1487" t="s">
        <v>4412</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4995</v>
      </c>
    </row>
    <row r="543" spans="1:84" ht="69" hidden="1" customHeight="1">
      <c r="A543" s="1467"/>
      <c r="B543" s="22"/>
      <c r="C543" s="1686">
        <v>45068</v>
      </c>
      <c r="D543" s="1686" t="s">
        <v>4999</v>
      </c>
      <c r="E543" s="921">
        <v>44805</v>
      </c>
      <c r="F543" s="921">
        <v>44805</v>
      </c>
      <c r="G543" s="925">
        <v>44687</v>
      </c>
      <c r="H543" s="1793"/>
      <c r="I543" s="331">
        <v>44750</v>
      </c>
      <c r="J543" s="331"/>
      <c r="K543" s="169">
        <v>2021</v>
      </c>
      <c r="L543" s="1446">
        <v>212017</v>
      </c>
      <c r="M543" s="1446"/>
      <c r="N543" s="170" t="s">
        <v>3239</v>
      </c>
      <c r="O543" s="178" t="s">
        <v>4054</v>
      </c>
      <c r="P543" s="148" t="s">
        <v>4035</v>
      </c>
      <c r="Q543" s="1487" t="s">
        <v>4061</v>
      </c>
      <c r="R543" s="1487" t="s">
        <v>2580</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89" t="s">
        <v>4996</v>
      </c>
    </row>
    <row r="544" spans="1:84" ht="96.75" hidden="1" customHeight="1">
      <c r="A544" s="1467"/>
      <c r="B544" s="22"/>
      <c r="C544" s="1686">
        <v>45068</v>
      </c>
      <c r="D544" s="1690">
        <v>6</v>
      </c>
      <c r="E544" s="921">
        <v>44805</v>
      </c>
      <c r="F544" s="921">
        <v>44805</v>
      </c>
      <c r="G544" s="925">
        <v>44687</v>
      </c>
      <c r="H544" s="1793"/>
      <c r="I544" s="331">
        <v>44750</v>
      </c>
      <c r="J544" s="331"/>
      <c r="K544" s="169">
        <v>2021</v>
      </c>
      <c r="L544" s="1446">
        <v>212018</v>
      </c>
      <c r="M544" s="1446"/>
      <c r="N544" s="170" t="s">
        <v>3239</v>
      </c>
      <c r="O544" s="178" t="s">
        <v>4055</v>
      </c>
      <c r="P544" s="172" t="s">
        <v>4035</v>
      </c>
      <c r="Q544" s="173" t="s">
        <v>4080</v>
      </c>
      <c r="R544" s="173" t="s">
        <v>2666</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86">
        <v>45068</v>
      </c>
      <c r="D545" s="1690">
        <v>11</v>
      </c>
      <c r="E545" s="921">
        <v>44805</v>
      </c>
      <c r="F545" s="921">
        <v>44805</v>
      </c>
      <c r="G545" s="925">
        <v>44687</v>
      </c>
      <c r="H545" s="1793"/>
      <c r="I545" s="331">
        <v>44750</v>
      </c>
      <c r="J545" s="331"/>
      <c r="K545" s="169">
        <v>2021</v>
      </c>
      <c r="L545" s="1446">
        <v>212019</v>
      </c>
      <c r="M545" s="1446"/>
      <c r="N545" s="170" t="s">
        <v>3239</v>
      </c>
      <c r="O545" s="178" t="s">
        <v>4056</v>
      </c>
      <c r="P545" s="172" t="s">
        <v>4035</v>
      </c>
      <c r="Q545" s="173" t="s">
        <v>4062</v>
      </c>
      <c r="R545" s="173" t="s">
        <v>2518</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88"/>
      <c r="D546" s="1688"/>
      <c r="E546" s="1074"/>
      <c r="F546" s="1074"/>
      <c r="G546" s="556"/>
      <c r="H546" s="612"/>
      <c r="I546" s="612"/>
      <c r="J546" s="612"/>
      <c r="K546" s="1075">
        <v>2021</v>
      </c>
      <c r="L546" s="1449">
        <v>212020</v>
      </c>
      <c r="M546" s="1449"/>
      <c r="N546" s="1076"/>
      <c r="O546" s="1077" t="s">
        <v>4057</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67"/>
      <c r="BG546" s="1093"/>
      <c r="BH546" s="1093"/>
      <c r="BI546" s="1093"/>
      <c r="BJ546" s="1103"/>
      <c r="BK546" s="1104"/>
      <c r="BL546" s="1905"/>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85"/>
      <c r="D547" s="1685"/>
      <c r="E547" s="921"/>
      <c r="F547" s="921"/>
      <c r="G547" s="925"/>
      <c r="H547" s="1793"/>
      <c r="I547" s="331"/>
      <c r="J547" s="331"/>
      <c r="K547" s="169">
        <v>2021</v>
      </c>
      <c r="L547" s="1446">
        <v>213001</v>
      </c>
      <c r="M547" s="1446"/>
      <c r="N547" s="170" t="s">
        <v>165</v>
      </c>
      <c r="O547" s="178" t="s">
        <v>3754</v>
      </c>
      <c r="P547" s="172" t="s">
        <v>46</v>
      </c>
      <c r="Q547" s="173" t="s">
        <v>3765</v>
      </c>
      <c r="R547" s="173" t="s">
        <v>2578</v>
      </c>
      <c r="S547" s="174">
        <v>45000</v>
      </c>
      <c r="T547" s="175">
        <v>44204</v>
      </c>
      <c r="U547" s="176">
        <v>44208</v>
      </c>
      <c r="V547" s="177">
        <v>44298</v>
      </c>
      <c r="W547" s="105" t="s">
        <v>67</v>
      </c>
      <c r="X547" s="178" t="s">
        <v>3763</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85"/>
      <c r="D548" s="1685"/>
      <c r="E548" s="921"/>
      <c r="F548" s="921"/>
      <c r="G548" s="925"/>
      <c r="H548" s="1793"/>
      <c r="I548" s="331"/>
      <c r="J548" s="331"/>
      <c r="K548" s="169">
        <v>2021</v>
      </c>
      <c r="L548" s="1446">
        <v>213002</v>
      </c>
      <c r="M548" s="1446"/>
      <c r="N548" s="170" t="s">
        <v>165</v>
      </c>
      <c r="O548" s="178" t="s">
        <v>3755</v>
      </c>
      <c r="P548" s="172" t="s">
        <v>46</v>
      </c>
      <c r="Q548" s="173" t="s">
        <v>3764</v>
      </c>
      <c r="R548" s="173" t="s">
        <v>2578</v>
      </c>
      <c r="S548" s="174">
        <v>64960</v>
      </c>
      <c r="T548" s="175">
        <v>44224</v>
      </c>
      <c r="U548" s="176">
        <v>44228</v>
      </c>
      <c r="V548" s="177">
        <v>44255</v>
      </c>
      <c r="W548" s="105" t="s">
        <v>67</v>
      </c>
      <c r="X548" s="178" t="s">
        <v>2854</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85"/>
      <c r="D549" s="1685"/>
      <c r="E549" s="921"/>
      <c r="F549" s="921"/>
      <c r="G549" s="925"/>
      <c r="H549" s="1793"/>
      <c r="I549" s="331"/>
      <c r="J549" s="331"/>
      <c r="K549" s="169">
        <v>2021</v>
      </c>
      <c r="L549" s="1446">
        <v>213003</v>
      </c>
      <c r="M549" s="1446"/>
      <c r="N549" s="170" t="s">
        <v>165</v>
      </c>
      <c r="O549" s="178" t="s">
        <v>3756</v>
      </c>
      <c r="P549" s="172" t="s">
        <v>4886</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85"/>
      <c r="D550" s="1685"/>
      <c r="E550" s="921"/>
      <c r="F550" s="921"/>
      <c r="G550" s="925"/>
      <c r="H550" s="1793"/>
      <c r="I550" s="331"/>
      <c r="J550" s="331"/>
      <c r="K550" s="169">
        <v>2021</v>
      </c>
      <c r="L550" s="1446">
        <v>213004</v>
      </c>
      <c r="M550" s="1446"/>
      <c r="N550" s="170" t="s">
        <v>165</v>
      </c>
      <c r="O550" s="178" t="s">
        <v>3757</v>
      </c>
      <c r="P550" s="172" t="s">
        <v>46</v>
      </c>
      <c r="Q550" s="173" t="s">
        <v>3767</v>
      </c>
      <c r="R550" s="173" t="s">
        <v>4413</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85"/>
      <c r="D551" s="1685"/>
      <c r="E551" s="921"/>
      <c r="F551" s="921"/>
      <c r="G551" s="925"/>
      <c r="H551" s="1793"/>
      <c r="I551" s="331"/>
      <c r="J551" s="331"/>
      <c r="K551" s="169">
        <v>2021</v>
      </c>
      <c r="L551" s="1446">
        <v>213005</v>
      </c>
      <c r="M551" s="1446"/>
      <c r="N551" s="170" t="s">
        <v>165</v>
      </c>
      <c r="O551" s="178" t="s">
        <v>3758</v>
      </c>
      <c r="P551" s="172" t="s">
        <v>46</v>
      </c>
      <c r="Q551" s="173" t="s">
        <v>3768</v>
      </c>
      <c r="R551" s="173" t="s">
        <v>4413</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85"/>
      <c r="D552" s="1685"/>
      <c r="E552" s="921"/>
      <c r="F552" s="921"/>
      <c r="G552" s="925"/>
      <c r="H552" s="1793"/>
      <c r="I552" s="331"/>
      <c r="J552" s="331"/>
      <c r="K552" s="1435">
        <v>2021</v>
      </c>
      <c r="L552" s="1446">
        <v>213006</v>
      </c>
      <c r="M552" s="1446"/>
      <c r="N552" s="170" t="s">
        <v>165</v>
      </c>
      <c r="O552" s="178" t="s">
        <v>3942</v>
      </c>
      <c r="P552" s="172" t="s">
        <v>46</v>
      </c>
      <c r="Q552" s="173" t="s">
        <v>3976</v>
      </c>
      <c r="R552" s="173" t="s">
        <v>2578</v>
      </c>
      <c r="S552" s="174">
        <f>20000*1.16</f>
        <v>23200</v>
      </c>
      <c r="T552" s="175">
        <v>44263</v>
      </c>
      <c r="U552" s="176" t="s">
        <v>67</v>
      </c>
      <c r="V552" s="177" t="s">
        <v>67</v>
      </c>
      <c r="W552" s="105" t="s">
        <v>67</v>
      </c>
      <c r="X552" s="178" t="s">
        <v>3949</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85"/>
      <c r="D553" s="1685"/>
      <c r="E553" s="921"/>
      <c r="F553" s="921"/>
      <c r="G553" s="925"/>
      <c r="H553" s="1793"/>
      <c r="I553" s="331"/>
      <c r="J553" s="331"/>
      <c r="K553" s="1435">
        <v>2021</v>
      </c>
      <c r="L553" s="1446">
        <v>213007</v>
      </c>
      <c r="M553" s="1446"/>
      <c r="N553" s="170" t="s">
        <v>165</v>
      </c>
      <c r="O553" s="178" t="s">
        <v>3943</v>
      </c>
      <c r="P553" s="172" t="s">
        <v>46</v>
      </c>
      <c r="Q553" s="173" t="s">
        <v>3976</v>
      </c>
      <c r="R553" s="173" t="s">
        <v>2578</v>
      </c>
      <c r="S553" s="174">
        <f>20000*1.16</f>
        <v>23200</v>
      </c>
      <c r="T553" s="175">
        <v>44263</v>
      </c>
      <c r="U553" s="176" t="s">
        <v>67</v>
      </c>
      <c r="V553" s="177" t="s">
        <v>67</v>
      </c>
      <c r="W553" s="105" t="s">
        <v>67</v>
      </c>
      <c r="X553" s="178" t="s">
        <v>2854</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85"/>
      <c r="D554" s="1685"/>
      <c r="E554" s="921"/>
      <c r="F554" s="921"/>
      <c r="G554" s="925"/>
      <c r="H554" s="1793"/>
      <c r="I554" s="331"/>
      <c r="J554" s="331"/>
      <c r="K554" s="1435">
        <v>2021</v>
      </c>
      <c r="L554" s="1446">
        <v>213008</v>
      </c>
      <c r="M554" s="1446"/>
      <c r="N554" s="170" t="s">
        <v>165</v>
      </c>
      <c r="O554" s="178" t="s">
        <v>3944</v>
      </c>
      <c r="P554" s="172" t="s">
        <v>46</v>
      </c>
      <c r="Q554" s="173" t="s">
        <v>3977</v>
      </c>
      <c r="R554" s="173" t="s">
        <v>2515</v>
      </c>
      <c r="S554" s="174">
        <f>4040*1.16</f>
        <v>4686.3999999999996</v>
      </c>
      <c r="T554" s="175">
        <v>44364</v>
      </c>
      <c r="U554" s="176" t="s">
        <v>67</v>
      </c>
      <c r="V554" s="177" t="s">
        <v>67</v>
      </c>
      <c r="W554" s="105" t="s">
        <v>67</v>
      </c>
      <c r="X554" s="178" t="s">
        <v>3950</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85"/>
      <c r="D555" s="1685"/>
      <c r="E555" s="921"/>
      <c r="F555" s="921"/>
      <c r="G555" s="925"/>
      <c r="H555" s="1793"/>
      <c r="I555" s="331"/>
      <c r="J555" s="331"/>
      <c r="K555" s="1435">
        <v>2021</v>
      </c>
      <c r="L555" s="1446">
        <v>213009</v>
      </c>
      <c r="M555" s="1446"/>
      <c r="N555" s="170" t="s">
        <v>165</v>
      </c>
      <c r="O555" s="178" t="s">
        <v>3945</v>
      </c>
      <c r="P555" s="172" t="s">
        <v>46</v>
      </c>
      <c r="Q555" s="173" t="s">
        <v>3948</v>
      </c>
      <c r="R555" s="173" t="s">
        <v>2515</v>
      </c>
      <c r="S555" s="174">
        <f>478*1.16</f>
        <v>554.48</v>
      </c>
      <c r="T555" s="175">
        <v>44364</v>
      </c>
      <c r="U555" s="176" t="s">
        <v>67</v>
      </c>
      <c r="V555" s="177" t="s">
        <v>67</v>
      </c>
      <c r="W555" s="105" t="s">
        <v>67</v>
      </c>
      <c r="X555" s="178" t="s">
        <v>3950</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85"/>
      <c r="D556" s="1685"/>
      <c r="E556" s="921"/>
      <c r="F556" s="921"/>
      <c r="G556" s="925"/>
      <c r="H556" s="1793"/>
      <c r="I556" s="331"/>
      <c r="J556" s="331"/>
      <c r="K556" s="169">
        <v>2021</v>
      </c>
      <c r="L556" s="1446">
        <v>214001</v>
      </c>
      <c r="M556" s="1446"/>
      <c r="N556" s="170" t="s">
        <v>165</v>
      </c>
      <c r="O556" s="178" t="s">
        <v>3749</v>
      </c>
      <c r="P556" s="172" t="s">
        <v>45</v>
      </c>
      <c r="Q556" s="173" t="s">
        <v>6788</v>
      </c>
      <c r="R556" s="173" t="s">
        <v>2580</v>
      </c>
      <c r="S556" s="174">
        <v>11600</v>
      </c>
      <c r="T556" s="175">
        <v>44204</v>
      </c>
      <c r="U556" s="176">
        <v>44207</v>
      </c>
      <c r="V556" s="177">
        <v>44214</v>
      </c>
      <c r="W556" s="105" t="s">
        <v>67</v>
      </c>
      <c r="X556" s="178" t="s">
        <v>3759</v>
      </c>
      <c r="Y556" s="170" t="s">
        <v>3760</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85"/>
      <c r="D557" s="1685"/>
      <c r="E557" s="921"/>
      <c r="F557" s="921"/>
      <c r="G557" s="925"/>
      <c r="H557" s="1793"/>
      <c r="I557" s="331"/>
      <c r="J557" s="331"/>
      <c r="K557" s="169">
        <v>2021</v>
      </c>
      <c r="L557" s="1446">
        <v>214002</v>
      </c>
      <c r="M557" s="1446"/>
      <c r="N557" s="170" t="s">
        <v>165</v>
      </c>
      <c r="O557" s="178" t="s">
        <v>3750</v>
      </c>
      <c r="P557" s="172" t="s">
        <v>4116</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85"/>
      <c r="D558" s="1685"/>
      <c r="E558" s="921"/>
      <c r="F558" s="921"/>
      <c r="G558" s="925"/>
      <c r="H558" s="1793"/>
      <c r="I558" s="331"/>
      <c r="J558" s="331"/>
      <c r="K558" s="169">
        <v>2021</v>
      </c>
      <c r="L558" s="1446">
        <v>214003</v>
      </c>
      <c r="M558" s="1446"/>
      <c r="N558" s="170" t="s">
        <v>165</v>
      </c>
      <c r="O558" s="178" t="s">
        <v>3751</v>
      </c>
      <c r="P558" s="172" t="s">
        <v>45</v>
      </c>
      <c r="Q558" s="173" t="s">
        <v>3761</v>
      </c>
      <c r="R558" s="173" t="s">
        <v>1975</v>
      </c>
      <c r="S558" s="174">
        <v>23200</v>
      </c>
      <c r="T558" s="175">
        <v>44212</v>
      </c>
      <c r="U558" s="176" t="s">
        <v>67</v>
      </c>
      <c r="V558" s="177" t="s">
        <v>67</v>
      </c>
      <c r="W558" s="105" t="s">
        <v>67</v>
      </c>
      <c r="X558" s="178" t="s">
        <v>3762</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85"/>
      <c r="D559" s="1685"/>
      <c r="E559" s="921"/>
      <c r="F559" s="921"/>
      <c r="G559" s="925"/>
      <c r="H559" s="1793"/>
      <c r="I559" s="331"/>
      <c r="J559" s="331"/>
      <c r="K559" s="169">
        <v>2021</v>
      </c>
      <c r="L559" s="1446">
        <v>214004</v>
      </c>
      <c r="M559" s="1446"/>
      <c r="N559" s="170" t="s">
        <v>165</v>
      </c>
      <c r="O559" s="178" t="s">
        <v>3752</v>
      </c>
      <c r="P559" s="172" t="s">
        <v>4116</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85"/>
      <c r="D560" s="1685"/>
      <c r="E560" s="921"/>
      <c r="F560" s="921"/>
      <c r="G560" s="925"/>
      <c r="H560" s="1793"/>
      <c r="I560" s="331"/>
      <c r="J560" s="331"/>
      <c r="K560" s="169">
        <v>2021</v>
      </c>
      <c r="L560" s="1446">
        <v>214005</v>
      </c>
      <c r="M560" s="1446"/>
      <c r="N560" s="170" t="s">
        <v>165</v>
      </c>
      <c r="O560" s="178" t="s">
        <v>3753</v>
      </c>
      <c r="P560" s="172" t="s">
        <v>45</v>
      </c>
      <c r="Q560" s="173" t="s">
        <v>3960</v>
      </c>
      <c r="R560" s="173" t="s">
        <v>2515</v>
      </c>
      <c r="S560" s="174">
        <f>14000*1.16</f>
        <v>16239.999999999998</v>
      </c>
      <c r="T560" s="175">
        <v>44400</v>
      </c>
      <c r="U560" s="176"/>
      <c r="V560" s="177"/>
      <c r="W560" s="105" t="s">
        <v>67</v>
      </c>
      <c r="X560" s="178" t="s">
        <v>3959</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85"/>
      <c r="D561" s="1685"/>
      <c r="E561" s="921"/>
      <c r="F561" s="921"/>
      <c r="G561" s="925"/>
      <c r="H561" s="1793"/>
      <c r="I561" s="331"/>
      <c r="J561" s="331"/>
      <c r="K561" s="169">
        <v>2021</v>
      </c>
      <c r="L561" s="1446">
        <v>214006</v>
      </c>
      <c r="M561" s="1446"/>
      <c r="N561" s="170" t="s">
        <v>165</v>
      </c>
      <c r="O561" s="178" t="s">
        <v>3938</v>
      </c>
      <c r="P561" s="172" t="s">
        <v>4116</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85"/>
      <c r="D562" s="1685"/>
      <c r="E562" s="921"/>
      <c r="F562" s="921"/>
      <c r="G562" s="925"/>
      <c r="H562" s="1793"/>
      <c r="I562" s="331"/>
      <c r="J562" s="331"/>
      <c r="K562" s="169">
        <v>2021</v>
      </c>
      <c r="L562" s="1446">
        <v>214007</v>
      </c>
      <c r="M562" s="1446"/>
      <c r="N562" s="170" t="s">
        <v>165</v>
      </c>
      <c r="O562" s="178" t="s">
        <v>3939</v>
      </c>
      <c r="P562" s="172" t="s">
        <v>45</v>
      </c>
      <c r="Q562" s="173" t="s">
        <v>3962</v>
      </c>
      <c r="R562" s="173" t="s">
        <v>1975</v>
      </c>
      <c r="S562" s="174">
        <v>16240</v>
      </c>
      <c r="T562" s="175">
        <v>44441</v>
      </c>
      <c r="U562" s="176" t="s">
        <v>67</v>
      </c>
      <c r="V562" s="177" t="s">
        <v>67</v>
      </c>
      <c r="W562" s="105" t="s">
        <v>67</v>
      </c>
      <c r="X562" s="627" t="s">
        <v>3961</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85"/>
      <c r="D563" s="1685"/>
      <c r="E563" s="921"/>
      <c r="F563" s="921"/>
      <c r="G563" s="925"/>
      <c r="H563" s="1793"/>
      <c r="I563" s="331"/>
      <c r="J563" s="331"/>
      <c r="K563" s="169">
        <v>2021</v>
      </c>
      <c r="L563" s="1446">
        <v>214008</v>
      </c>
      <c r="M563" s="1446"/>
      <c r="N563" s="170" t="s">
        <v>165</v>
      </c>
      <c r="O563" s="178" t="s">
        <v>3940</v>
      </c>
      <c r="P563" s="172" t="s">
        <v>45</v>
      </c>
      <c r="Q563" s="173" t="s">
        <v>3974</v>
      </c>
      <c r="R563" s="173" t="s">
        <v>1975</v>
      </c>
      <c r="S563" s="174">
        <v>226407.64</v>
      </c>
      <c r="T563" s="175">
        <v>44435</v>
      </c>
      <c r="U563" s="176" t="s">
        <v>67</v>
      </c>
      <c r="V563" s="177" t="s">
        <v>67</v>
      </c>
      <c r="W563" s="105" t="s">
        <v>67</v>
      </c>
      <c r="X563" s="627" t="s">
        <v>3963</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85"/>
      <c r="D564" s="1685"/>
      <c r="E564" s="921"/>
      <c r="F564" s="921"/>
      <c r="G564" s="925"/>
      <c r="H564" s="1793"/>
      <c r="I564" s="331"/>
      <c r="J564" s="331"/>
      <c r="K564" s="169">
        <v>2021</v>
      </c>
      <c r="L564" s="1446">
        <v>214009</v>
      </c>
      <c r="M564" s="1446"/>
      <c r="N564" s="170" t="s">
        <v>165</v>
      </c>
      <c r="O564" s="178" t="s">
        <v>3941</v>
      </c>
      <c r="P564" s="172" t="s">
        <v>45</v>
      </c>
      <c r="Q564" s="173" t="s">
        <v>3965</v>
      </c>
      <c r="R564" s="173" t="s">
        <v>2578</v>
      </c>
      <c r="S564" s="174">
        <v>91300</v>
      </c>
      <c r="T564" s="175">
        <v>44432</v>
      </c>
      <c r="U564" s="176" t="s">
        <v>67</v>
      </c>
      <c r="V564" s="177" t="s">
        <v>67</v>
      </c>
      <c r="W564" s="105" t="s">
        <v>67</v>
      </c>
      <c r="X564" s="627" t="s">
        <v>3964</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85"/>
      <c r="D565" s="1685"/>
      <c r="E565" s="921">
        <v>44440</v>
      </c>
      <c r="F565" s="921"/>
      <c r="G565" s="925">
        <v>44358</v>
      </c>
      <c r="H565" s="1793"/>
      <c r="I565" s="331">
        <v>44323</v>
      </c>
      <c r="J565" s="331"/>
      <c r="K565" s="169">
        <v>2021</v>
      </c>
      <c r="L565" s="1446">
        <v>215001</v>
      </c>
      <c r="M565" s="1446"/>
      <c r="N565" s="170" t="s">
        <v>165</v>
      </c>
      <c r="O565" s="178" t="s">
        <v>3449</v>
      </c>
      <c r="P565" s="172" t="s">
        <v>78</v>
      </c>
      <c r="Q565" s="173" t="s">
        <v>3463</v>
      </c>
      <c r="R565" s="173" t="s">
        <v>2580</v>
      </c>
      <c r="S565" s="586">
        <v>1300000</v>
      </c>
      <c r="T565" s="582">
        <v>44208</v>
      </c>
      <c r="U565" s="176">
        <v>44231</v>
      </c>
      <c r="V565" s="177">
        <v>44377</v>
      </c>
      <c r="W565" s="105">
        <v>44207</v>
      </c>
      <c r="X565" s="170" t="s">
        <v>2935</v>
      </c>
      <c r="Y565" s="170" t="s">
        <v>3611</v>
      </c>
      <c r="Z565" s="201" t="s">
        <v>1176</v>
      </c>
      <c r="AA565" s="369"/>
      <c r="AB565" s="33" t="s">
        <v>3832</v>
      </c>
      <c r="AC565" s="8">
        <v>44224</v>
      </c>
      <c r="AD565" s="4">
        <v>1300000</v>
      </c>
      <c r="AE565" s="237" t="s">
        <v>3774</v>
      </c>
      <c r="AF565" s="32">
        <v>1300000</v>
      </c>
      <c r="AG565" s="34" t="s">
        <v>67</v>
      </c>
      <c r="AH565" s="112" t="s">
        <v>67</v>
      </c>
      <c r="AI565" s="112" t="s">
        <v>67</v>
      </c>
      <c r="AJ565" s="7" t="s">
        <v>67</v>
      </c>
      <c r="AK565" s="109" t="s">
        <v>67</v>
      </c>
      <c r="AL565" s="33" t="s">
        <v>3558</v>
      </c>
      <c r="AM565" s="1" t="s">
        <v>3775</v>
      </c>
      <c r="AN565" s="5">
        <v>44231</v>
      </c>
      <c r="AO565" s="1" t="s">
        <v>3776</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908"/>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3594</v>
      </c>
      <c r="BZ565" s="1336"/>
      <c r="CA565" s="13" t="s">
        <v>1294</v>
      </c>
      <c r="CB565" s="13" t="s">
        <v>1294</v>
      </c>
      <c r="CC565" s="13" t="s">
        <v>3551</v>
      </c>
      <c r="CD565" s="13"/>
      <c r="CE565" s="1246" t="s">
        <v>2094</v>
      </c>
      <c r="CF565" s="578" t="s">
        <v>1142</v>
      </c>
    </row>
    <row r="566" spans="1:84" ht="126" hidden="1" customHeight="1">
      <c r="A566" s="1467"/>
      <c r="B566" s="22"/>
      <c r="C566" s="1685"/>
      <c r="D566" s="1685"/>
      <c r="E566" s="921">
        <v>44407</v>
      </c>
      <c r="F566" s="921"/>
      <c r="G566" s="925">
        <v>44762</v>
      </c>
      <c r="H566" s="1793"/>
      <c r="I566" s="331">
        <v>44358</v>
      </c>
      <c r="J566" s="331"/>
      <c r="K566" s="169">
        <v>2021</v>
      </c>
      <c r="L566" s="1446">
        <v>215002</v>
      </c>
      <c r="M566" s="1446"/>
      <c r="N566" s="170" t="s">
        <v>76</v>
      </c>
      <c r="O566" s="178" t="s">
        <v>3450</v>
      </c>
      <c r="P566" s="172" t="s">
        <v>3215</v>
      </c>
      <c r="Q566" s="173" t="s">
        <v>3462</v>
      </c>
      <c r="R566" s="173" t="s">
        <v>2580</v>
      </c>
      <c r="S566" s="174">
        <v>2242164.25</v>
      </c>
      <c r="T566" s="582">
        <v>44210</v>
      </c>
      <c r="U566" s="176">
        <v>44211</v>
      </c>
      <c r="V566" s="177">
        <v>44270</v>
      </c>
      <c r="W566" s="105" t="s">
        <v>1427</v>
      </c>
      <c r="X566" s="178" t="s">
        <v>4222</v>
      </c>
      <c r="Y566" s="170" t="s">
        <v>3652</v>
      </c>
      <c r="Z566" s="600">
        <v>44198</v>
      </c>
      <c r="AA566" s="1402" t="s">
        <v>4292</v>
      </c>
      <c r="AB566" s="33" t="s">
        <v>3803</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910"/>
      <c r="BM566" s="1452" t="s">
        <v>73</v>
      </c>
      <c r="BN566" s="684" t="s">
        <v>73</v>
      </c>
      <c r="BO566" s="71">
        <v>44210</v>
      </c>
      <c r="BP566" s="684" t="s">
        <v>73</v>
      </c>
      <c r="BQ566" s="684" t="s">
        <v>73</v>
      </c>
      <c r="BR566" s="71">
        <v>44203</v>
      </c>
      <c r="BS566" s="924" t="s">
        <v>73</v>
      </c>
      <c r="BT566" s="71">
        <v>44267</v>
      </c>
      <c r="BU566" s="684" t="s">
        <v>73</v>
      </c>
      <c r="BV566" s="71"/>
      <c r="BW566" s="685"/>
      <c r="BX566" s="13"/>
      <c r="BY566" s="1273" t="s">
        <v>3733</v>
      </c>
      <c r="BZ566" s="1273"/>
      <c r="CA566" s="1284" t="s">
        <v>73</v>
      </c>
      <c r="CB566" s="158" t="s">
        <v>3889</v>
      </c>
      <c r="CC566" s="158" t="s">
        <v>3546</v>
      </c>
      <c r="CD566" s="158"/>
      <c r="CE566" s="1246" t="s">
        <v>2094</v>
      </c>
      <c r="CF566" s="38" t="s">
        <v>3890</v>
      </c>
    </row>
    <row r="567" spans="1:84" s="104" customFormat="1" ht="90" hidden="1" customHeight="1">
      <c r="B567" s="81"/>
      <c r="C567" s="1687"/>
      <c r="D567" s="1687"/>
      <c r="E567" s="1009"/>
      <c r="F567" s="1009"/>
      <c r="G567" s="123"/>
      <c r="H567" s="1885"/>
      <c r="I567" s="612"/>
      <c r="J567" s="612"/>
      <c r="K567" s="1010">
        <v>2021</v>
      </c>
      <c r="L567" s="1448">
        <v>215003</v>
      </c>
      <c r="M567" s="1448"/>
      <c r="N567" s="613" t="s">
        <v>165</v>
      </c>
      <c r="O567" s="618" t="s">
        <v>3451</v>
      </c>
      <c r="P567" s="646" t="s">
        <v>250</v>
      </c>
      <c r="Q567" s="647" t="s">
        <v>3459</v>
      </c>
      <c r="R567" s="647"/>
      <c r="S567" s="614">
        <v>195609.22</v>
      </c>
      <c r="T567" s="615">
        <v>44208</v>
      </c>
      <c r="U567" s="616">
        <v>44242</v>
      </c>
      <c r="V567" s="617">
        <v>44270</v>
      </c>
      <c r="W567" s="371">
        <v>44207</v>
      </c>
      <c r="X567" s="613" t="s">
        <v>4043</v>
      </c>
      <c r="Y567" s="613" t="s">
        <v>3652</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74"/>
      <c r="BG567" s="88"/>
      <c r="BH567" s="88"/>
      <c r="BI567" s="88"/>
      <c r="BJ567" s="99"/>
      <c r="BK567" s="1519" t="s">
        <v>73</v>
      </c>
      <c r="BL567" s="1911"/>
      <c r="BM567" s="862"/>
      <c r="BN567" s="863"/>
      <c r="BO567" s="863"/>
      <c r="BP567" s="1011"/>
      <c r="BQ567" s="1011"/>
      <c r="BR567" s="1011"/>
      <c r="BS567" s="924"/>
      <c r="BT567" s="1011"/>
      <c r="BU567" s="1011"/>
      <c r="BV567" s="1011"/>
      <c r="BW567" s="862"/>
      <c r="BX567" s="102"/>
      <c r="BY567" s="1280" t="s">
        <v>3733</v>
      </c>
      <c r="BZ567" s="1280"/>
      <c r="CA567" s="102"/>
      <c r="CB567" s="102"/>
      <c r="CC567" s="102"/>
      <c r="CD567" s="102"/>
      <c r="CE567" s="1432" t="s">
        <v>2094</v>
      </c>
      <c r="CF567" s="864"/>
    </row>
    <row r="568" spans="1:84" ht="114.75" hidden="1" customHeight="1">
      <c r="A568" s="1467"/>
      <c r="B568" s="22"/>
      <c r="C568" s="1685"/>
      <c r="D568" s="1685"/>
      <c r="E568" s="921">
        <v>44407</v>
      </c>
      <c r="F568" s="921"/>
      <c r="G568" s="925">
        <v>44762</v>
      </c>
      <c r="H568" s="1793"/>
      <c r="I568" s="331">
        <v>44358</v>
      </c>
      <c r="J568" s="331"/>
      <c r="K568" s="169">
        <v>2021</v>
      </c>
      <c r="L568" s="1446">
        <v>215004</v>
      </c>
      <c r="M568" s="1446"/>
      <c r="N568" s="170" t="s">
        <v>76</v>
      </c>
      <c r="O568" s="178" t="s">
        <v>3452</v>
      </c>
      <c r="P568" s="172" t="s">
        <v>3215</v>
      </c>
      <c r="Q568" s="173" t="s">
        <v>3612</v>
      </c>
      <c r="R568" s="173" t="s">
        <v>2580</v>
      </c>
      <c r="S568" s="174">
        <v>8221905.6500000004</v>
      </c>
      <c r="T568" s="582">
        <v>44210</v>
      </c>
      <c r="U568" s="176">
        <v>44211</v>
      </c>
      <c r="V568" s="177">
        <v>44266</v>
      </c>
      <c r="W568" s="105" t="s">
        <v>1427</v>
      </c>
      <c r="X568" s="178" t="s">
        <v>3472</v>
      </c>
      <c r="Y568" s="170" t="s">
        <v>3652</v>
      </c>
      <c r="Z568" s="600">
        <v>44198</v>
      </c>
      <c r="AA568" s="1402" t="s">
        <v>4292</v>
      </c>
      <c r="AB568" s="33" t="s">
        <v>3803</v>
      </c>
      <c r="AC568" s="8">
        <v>44197</v>
      </c>
      <c r="AD568" s="4">
        <v>18585634.399999999</v>
      </c>
      <c r="AE568" s="4"/>
      <c r="AF568" s="32"/>
      <c r="AG568" s="574">
        <v>44198</v>
      </c>
      <c r="AH568" s="575">
        <v>44200</v>
      </c>
      <c r="AI568" s="575">
        <v>44200</v>
      </c>
      <c r="AJ568" s="1356" t="s">
        <v>73</v>
      </c>
      <c r="AK568" s="1357" t="s">
        <v>73</v>
      </c>
      <c r="AL568" s="115" t="s">
        <v>3576</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3733</v>
      </c>
      <c r="BZ568" s="1273"/>
      <c r="CA568" s="1284" t="s">
        <v>73</v>
      </c>
      <c r="CB568" s="158" t="s">
        <v>3889</v>
      </c>
      <c r="CC568" s="158" t="s">
        <v>3546</v>
      </c>
      <c r="CD568" s="158"/>
      <c r="CE568" s="1246" t="s">
        <v>2094</v>
      </c>
      <c r="CF568" s="38"/>
    </row>
    <row r="569" spans="1:84" ht="114.75" hidden="1" customHeight="1">
      <c r="A569" s="1467"/>
      <c r="B569" s="22"/>
      <c r="C569" s="1685"/>
      <c r="D569" s="1685"/>
      <c r="E569" s="921">
        <v>44440</v>
      </c>
      <c r="F569" s="921"/>
      <c r="G569" s="925"/>
      <c r="H569" s="1793"/>
      <c r="I569" s="331"/>
      <c r="J569" s="331"/>
      <c r="K569" s="169">
        <v>2021</v>
      </c>
      <c r="L569" s="1446">
        <v>215005</v>
      </c>
      <c r="M569" s="1446"/>
      <c r="N569" s="170" t="s">
        <v>165</v>
      </c>
      <c r="O569" s="178" t="s">
        <v>3453</v>
      </c>
      <c r="P569" s="172" t="s">
        <v>78</v>
      </c>
      <c r="Q569" s="173" t="s">
        <v>3458</v>
      </c>
      <c r="R569" s="173" t="s">
        <v>2580</v>
      </c>
      <c r="S569" s="174">
        <v>758856.32</v>
      </c>
      <c r="T569" s="582">
        <v>44208</v>
      </c>
      <c r="U569" s="176">
        <v>44271</v>
      </c>
      <c r="V569" s="177">
        <v>44275</v>
      </c>
      <c r="W569" s="105">
        <v>44207</v>
      </c>
      <c r="X569" s="170" t="s">
        <v>3472</v>
      </c>
      <c r="Y569" s="170" t="s">
        <v>3652</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3733</v>
      </c>
      <c r="BZ569" s="1273"/>
      <c r="CA569" s="1284"/>
      <c r="CB569" s="158"/>
      <c r="CC569" s="158"/>
      <c r="CD569" s="158"/>
      <c r="CE569" s="1246" t="s">
        <v>2094</v>
      </c>
      <c r="CF569" s="38"/>
    </row>
    <row r="570" spans="1:84" ht="107.25" hidden="1" customHeight="1">
      <c r="A570" s="1467"/>
      <c r="B570" s="22"/>
      <c r="C570" s="1685"/>
      <c r="D570" s="1685"/>
      <c r="E570" s="921">
        <v>44407</v>
      </c>
      <c r="F570" s="921"/>
      <c r="G570" s="925">
        <v>44447</v>
      </c>
      <c r="H570" s="1793"/>
      <c r="I570" s="331">
        <v>44449</v>
      </c>
      <c r="J570" s="331"/>
      <c r="K570" s="169">
        <v>2021</v>
      </c>
      <c r="L570" s="1446">
        <v>215006</v>
      </c>
      <c r="M570" s="1446"/>
      <c r="N570" s="170" t="s">
        <v>76</v>
      </c>
      <c r="O570" s="178" t="s">
        <v>3454</v>
      </c>
      <c r="P570" s="172" t="s">
        <v>78</v>
      </c>
      <c r="Q570" s="173" t="s">
        <v>3471</v>
      </c>
      <c r="R570" s="173" t="s">
        <v>1975</v>
      </c>
      <c r="S570" s="174">
        <f>565911.43+662470.72+151259.58</f>
        <v>1379641.73</v>
      </c>
      <c r="T570" s="582">
        <v>44208</v>
      </c>
      <c r="U570" s="176">
        <v>44211</v>
      </c>
      <c r="V570" s="177">
        <v>44256</v>
      </c>
      <c r="W570" s="105">
        <v>44207</v>
      </c>
      <c r="X570" s="178" t="s">
        <v>3475</v>
      </c>
      <c r="Y570" s="170" t="s">
        <v>3653</v>
      </c>
      <c r="Z570" s="600">
        <v>44198</v>
      </c>
      <c r="AA570" s="1400" t="s">
        <v>73</v>
      </c>
      <c r="AB570" s="33" t="s">
        <v>3803</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3842</v>
      </c>
      <c r="BN570" s="71">
        <v>44211</v>
      </c>
      <c r="BO570" s="71">
        <v>44211</v>
      </c>
      <c r="BP570" s="684" t="s">
        <v>73</v>
      </c>
      <c r="BQ570" s="71">
        <v>44211</v>
      </c>
      <c r="BR570" s="71">
        <v>44211</v>
      </c>
      <c r="BS570" s="924" t="s">
        <v>73</v>
      </c>
      <c r="BT570" s="71">
        <v>44265</v>
      </c>
      <c r="BU570" s="924"/>
      <c r="BV570" s="1343"/>
      <c r="BW570" s="1386"/>
      <c r="BX570" s="13"/>
      <c r="BY570" s="1273" t="s">
        <v>3733</v>
      </c>
      <c r="BZ570" s="1273"/>
      <c r="CA570" s="1284" t="s">
        <v>73</v>
      </c>
      <c r="CB570" s="158" t="s">
        <v>550</v>
      </c>
      <c r="CC570" s="158" t="s">
        <v>3546</v>
      </c>
      <c r="CD570" s="158"/>
      <c r="CE570" s="1246" t="s">
        <v>2094</v>
      </c>
      <c r="CF570" s="38"/>
    </row>
    <row r="571" spans="1:84" s="104" customFormat="1" ht="78.75" hidden="1" customHeight="1">
      <c r="B571" s="81"/>
      <c r="C571" s="1687"/>
      <c r="D571" s="1687"/>
      <c r="E571" s="1009"/>
      <c r="F571" s="1009"/>
      <c r="G571" s="123">
        <v>44377</v>
      </c>
      <c r="H571" s="1885"/>
      <c r="I571" s="612"/>
      <c r="J571" s="612"/>
      <c r="K571" s="1010">
        <v>2021</v>
      </c>
      <c r="L571" s="1448">
        <v>215007</v>
      </c>
      <c r="M571" s="1448"/>
      <c r="N571" s="613" t="s">
        <v>165</v>
      </c>
      <c r="O571" s="618" t="s">
        <v>3455</v>
      </c>
      <c r="P571" s="646" t="s">
        <v>250</v>
      </c>
      <c r="Q571" s="647" t="s">
        <v>3461</v>
      </c>
      <c r="R571" s="647"/>
      <c r="S571" s="614">
        <v>101577.38</v>
      </c>
      <c r="T571" s="615">
        <v>44208</v>
      </c>
      <c r="U571" s="616">
        <v>44270</v>
      </c>
      <c r="V571" s="617">
        <v>44275</v>
      </c>
      <c r="W571" s="371">
        <v>44207</v>
      </c>
      <c r="X571" s="618" t="s">
        <v>3475</v>
      </c>
      <c r="Y571" s="613" t="s">
        <v>3653</v>
      </c>
      <c r="Z571" s="557" t="s">
        <v>1176</v>
      </c>
      <c r="AA571" s="1392"/>
      <c r="AB571" s="90" t="s">
        <v>3803</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74"/>
      <c r="BG571" s="88"/>
      <c r="BH571" s="88"/>
      <c r="BI571" s="88"/>
      <c r="BJ571" s="99"/>
      <c r="BK571" s="1519" t="s">
        <v>73</v>
      </c>
      <c r="BL571" s="1911"/>
      <c r="BM571" s="1560" t="s">
        <v>3773</v>
      </c>
      <c r="BN571" s="863"/>
      <c r="BO571" s="863"/>
      <c r="BP571" s="1011"/>
      <c r="BQ571" s="1011"/>
      <c r="BR571" s="1011"/>
      <c r="BS571" s="924"/>
      <c r="BT571" s="1011"/>
      <c r="BU571" s="1011"/>
      <c r="BV571" s="1011"/>
      <c r="BW571" s="862"/>
      <c r="BX571" s="102"/>
      <c r="BY571" s="1280" t="s">
        <v>3733</v>
      </c>
      <c r="BZ571" s="1280"/>
      <c r="CA571" s="102" t="s">
        <v>550</v>
      </c>
      <c r="CB571" s="102"/>
      <c r="CC571" s="102"/>
      <c r="CD571" s="102"/>
      <c r="CE571" s="1432" t="s">
        <v>2094</v>
      </c>
      <c r="CF571" s="864"/>
    </row>
    <row r="572" spans="1:84" ht="138" hidden="1" customHeight="1">
      <c r="A572" s="1467"/>
      <c r="B572" s="22"/>
      <c r="C572" s="1685"/>
      <c r="D572" s="1685"/>
      <c r="E572" s="921">
        <v>44407</v>
      </c>
      <c r="F572" s="921"/>
      <c r="G572" s="925">
        <v>44449</v>
      </c>
      <c r="H572" s="1793"/>
      <c r="I572" s="331">
        <v>44449</v>
      </c>
      <c r="J572" s="331"/>
      <c r="K572" s="169">
        <v>2021</v>
      </c>
      <c r="L572" s="1446">
        <v>215008</v>
      </c>
      <c r="M572" s="1446"/>
      <c r="N572" s="170" t="s">
        <v>76</v>
      </c>
      <c r="O572" s="178" t="s">
        <v>3456</v>
      </c>
      <c r="P572" s="172" t="s">
        <v>78</v>
      </c>
      <c r="Q572" s="173" t="s">
        <v>3460</v>
      </c>
      <c r="R572" s="173" t="s">
        <v>1975</v>
      </c>
      <c r="S572" s="174">
        <v>1301387.07</v>
      </c>
      <c r="T572" s="582">
        <v>44200</v>
      </c>
      <c r="U572" s="176">
        <v>44201</v>
      </c>
      <c r="V572" s="177">
        <v>44270</v>
      </c>
      <c r="W572" s="105">
        <v>44197</v>
      </c>
      <c r="X572" s="178" t="s">
        <v>2940</v>
      </c>
      <c r="Y572" s="170" t="s">
        <v>3653</v>
      </c>
      <c r="Z572" s="201">
        <v>44198</v>
      </c>
      <c r="AA572" s="1401" t="s">
        <v>4619</v>
      </c>
      <c r="AB572" s="33" t="s">
        <v>3803</v>
      </c>
      <c r="AC572" s="8">
        <v>44197</v>
      </c>
      <c r="AD572" s="4">
        <v>18585634.399999999</v>
      </c>
      <c r="AE572" s="4"/>
      <c r="AF572" s="32"/>
      <c r="AG572" s="34" t="s">
        <v>67</v>
      </c>
      <c r="AH572" s="112" t="s">
        <v>67</v>
      </c>
      <c r="AI572" s="112" t="s">
        <v>67</v>
      </c>
      <c r="AJ572" s="7" t="s">
        <v>67</v>
      </c>
      <c r="AK572" s="109" t="s">
        <v>67</v>
      </c>
      <c r="AL572" s="115" t="s">
        <v>3893</v>
      </c>
      <c r="AM572" s="1" t="s">
        <v>67</v>
      </c>
      <c r="AN572" s="5"/>
      <c r="AO572" s="1">
        <v>2531210</v>
      </c>
      <c r="AP572" s="5">
        <v>44200</v>
      </c>
      <c r="AQ572" s="1425" t="s">
        <v>3892</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3842</v>
      </c>
      <c r="BN572" s="1029"/>
      <c r="BO572" s="1029"/>
      <c r="BP572" s="1065"/>
      <c r="BQ572" s="1065"/>
      <c r="BR572" s="1065"/>
      <c r="BS572" s="924"/>
      <c r="BT572" s="1065"/>
      <c r="BU572" s="1065"/>
      <c r="BV572" s="687"/>
      <c r="BW572" s="685"/>
      <c r="BX572" s="13"/>
      <c r="BY572" s="1273" t="s">
        <v>3733</v>
      </c>
      <c r="BZ572" s="1273"/>
      <c r="CA572" s="1284" t="s">
        <v>73</v>
      </c>
      <c r="CB572" s="158"/>
      <c r="CC572" s="158"/>
      <c r="CD572" s="158"/>
      <c r="CE572" s="1246" t="s">
        <v>2094</v>
      </c>
      <c r="CF572" s="38"/>
    </row>
    <row r="573" spans="1:84" ht="112.5" hidden="1" customHeight="1">
      <c r="A573" s="1467"/>
      <c r="B573" s="22"/>
      <c r="C573" s="1685"/>
      <c r="D573" s="1685"/>
      <c r="E573" s="921">
        <v>44440</v>
      </c>
      <c r="F573" s="921"/>
      <c r="G573" s="925">
        <v>44762</v>
      </c>
      <c r="H573" s="1793"/>
      <c r="I573" s="331"/>
      <c r="J573" s="331"/>
      <c r="K573" s="169">
        <v>2021</v>
      </c>
      <c r="L573" s="1446">
        <v>215009</v>
      </c>
      <c r="M573" s="1446"/>
      <c r="N573" s="170" t="s">
        <v>165</v>
      </c>
      <c r="O573" s="178" t="s">
        <v>3457</v>
      </c>
      <c r="P573" s="172" t="s">
        <v>3215</v>
      </c>
      <c r="Q573" s="173" t="s">
        <v>3479</v>
      </c>
      <c r="R573" s="173" t="s">
        <v>2580</v>
      </c>
      <c r="S573" s="586">
        <f>690727.9+887014.29+408294.56+631668.91</f>
        <v>2617705.66</v>
      </c>
      <c r="T573" s="582">
        <v>44208</v>
      </c>
      <c r="U573" s="176">
        <v>44227</v>
      </c>
      <c r="V573" s="177">
        <v>44270</v>
      </c>
      <c r="W573" s="105" t="s">
        <v>1427</v>
      </c>
      <c r="X573" s="178" t="s">
        <v>2940</v>
      </c>
      <c r="Y573" s="170" t="s">
        <v>3653</v>
      </c>
      <c r="Z573" s="201" t="s">
        <v>1176</v>
      </c>
      <c r="AA573" s="1402" t="s">
        <v>4292</v>
      </c>
      <c r="AB573" s="33" t="s">
        <v>3803</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3891</v>
      </c>
      <c r="AP573" s="5">
        <v>44208</v>
      </c>
      <c r="AQ573" s="1161" t="s">
        <v>4455</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3733</v>
      </c>
      <c r="BZ573" s="1273"/>
      <c r="CA573" s="13"/>
      <c r="CB573" s="13"/>
      <c r="CC573" s="13"/>
      <c r="CD573" s="13"/>
      <c r="CE573" s="1246" t="s">
        <v>2094</v>
      </c>
      <c r="CF573" s="38"/>
    </row>
    <row r="574" spans="1:84" ht="108.75" hidden="1" customHeight="1">
      <c r="A574" s="1467"/>
      <c r="B574" s="22"/>
      <c r="C574" s="1685"/>
      <c r="D574" s="1685"/>
      <c r="E574" s="921">
        <v>44440</v>
      </c>
      <c r="F574" s="921"/>
      <c r="G574" s="925">
        <v>44468</v>
      </c>
      <c r="H574" s="1793"/>
      <c r="I574" s="331"/>
      <c r="J574" s="331"/>
      <c r="K574" s="169">
        <v>2021</v>
      </c>
      <c r="L574" s="1446">
        <v>215010</v>
      </c>
      <c r="M574" s="1446"/>
      <c r="N574" s="170" t="s">
        <v>866</v>
      </c>
      <c r="O574" s="178" t="s">
        <v>3616</v>
      </c>
      <c r="P574" s="172" t="s">
        <v>3215</v>
      </c>
      <c r="Q574" s="173" t="s">
        <v>3734</v>
      </c>
      <c r="R574" s="173" t="s">
        <v>1975</v>
      </c>
      <c r="S574" s="174">
        <v>4895145.74</v>
      </c>
      <c r="T574" s="582">
        <v>44239</v>
      </c>
      <c r="U574" s="176">
        <v>44242</v>
      </c>
      <c r="V574" s="177">
        <v>44331</v>
      </c>
      <c r="W574" s="105" t="s">
        <v>1427</v>
      </c>
      <c r="X574" s="178" t="s">
        <v>1318</v>
      </c>
      <c r="Y574" s="170" t="s">
        <v>212</v>
      </c>
      <c r="Z574" s="462" t="s">
        <v>73</v>
      </c>
      <c r="AA574" s="1402" t="s">
        <v>4292</v>
      </c>
      <c r="AB574" s="33" t="s">
        <v>3806</v>
      </c>
      <c r="AC574" s="8">
        <v>44197</v>
      </c>
      <c r="AD574" s="4">
        <v>5000000</v>
      </c>
      <c r="AE574" s="4"/>
      <c r="AF574" s="32"/>
      <c r="AG574" s="702">
        <v>44225</v>
      </c>
      <c r="AH574" s="1361" t="s">
        <v>73</v>
      </c>
      <c r="AI574" s="180">
        <v>44229</v>
      </c>
      <c r="AJ574" s="179">
        <v>44235</v>
      </c>
      <c r="AK574" s="676">
        <v>44237</v>
      </c>
      <c r="AL574" s="115" t="s">
        <v>1293</v>
      </c>
      <c r="AM574" s="2" t="s">
        <v>3920</v>
      </c>
      <c r="AN574" s="239">
        <v>44267</v>
      </c>
      <c r="AO574" s="2" t="s">
        <v>3921</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4473</v>
      </c>
      <c r="BN574" s="1029"/>
      <c r="BO574" s="1029"/>
      <c r="BP574" s="1065"/>
      <c r="BQ574" s="1065"/>
      <c r="BR574" s="1065"/>
      <c r="BS574" s="924"/>
      <c r="BT574" s="1065"/>
      <c r="BU574" s="1065"/>
      <c r="BV574" s="687"/>
      <c r="BW574" s="685"/>
      <c r="BX574" s="13"/>
      <c r="BY574" s="1273" t="s">
        <v>3733</v>
      </c>
      <c r="BZ574" s="1273"/>
      <c r="CA574" s="13"/>
      <c r="CB574" s="13"/>
      <c r="CC574" s="13"/>
      <c r="CD574" s="13"/>
      <c r="CE574" s="1246" t="s">
        <v>2094</v>
      </c>
      <c r="CF574" s="38"/>
    </row>
    <row r="575" spans="1:84" ht="75.75" hidden="1" customHeight="1">
      <c r="A575" s="1467"/>
      <c r="B575" s="22"/>
      <c r="C575" s="1685"/>
      <c r="D575" s="1685"/>
      <c r="E575" s="921">
        <v>44440</v>
      </c>
      <c r="F575" s="921"/>
      <c r="G575" s="925">
        <v>44468</v>
      </c>
      <c r="H575" s="1793"/>
      <c r="I575" s="331"/>
      <c r="J575" s="331"/>
      <c r="K575" s="169">
        <v>2021</v>
      </c>
      <c r="L575" s="1446">
        <v>215011</v>
      </c>
      <c r="M575" s="1446"/>
      <c r="N575" s="170" t="s">
        <v>866</v>
      </c>
      <c r="O575" s="178" t="s">
        <v>3615</v>
      </c>
      <c r="P575" s="172" t="s">
        <v>3215</v>
      </c>
      <c r="Q575" s="587" t="s">
        <v>3735</v>
      </c>
      <c r="R575" s="173" t="s">
        <v>3626</v>
      </c>
      <c r="S575" s="1338">
        <v>3973863.2</v>
      </c>
      <c r="T575" s="581">
        <v>44278</v>
      </c>
      <c r="U575" s="601">
        <v>44280</v>
      </c>
      <c r="V575" s="602">
        <v>44347</v>
      </c>
      <c r="W575" s="68" t="s">
        <v>1427</v>
      </c>
      <c r="X575" s="638" t="s">
        <v>3736</v>
      </c>
      <c r="Y575" s="170" t="s">
        <v>3652</v>
      </c>
      <c r="Z575" s="462" t="s">
        <v>73</v>
      </c>
      <c r="AA575" s="1402" t="s">
        <v>4292</v>
      </c>
      <c r="AB575" s="33" t="s">
        <v>3807</v>
      </c>
      <c r="AC575" s="8">
        <v>44197</v>
      </c>
      <c r="AD575" s="4">
        <v>7586594.4000000004</v>
      </c>
      <c r="AE575" s="4"/>
      <c r="AF575" s="32"/>
      <c r="AG575" s="702">
        <v>44225</v>
      </c>
      <c r="AH575" s="180">
        <v>44229</v>
      </c>
      <c r="AI575" s="180">
        <v>44229</v>
      </c>
      <c r="AJ575" s="1356" t="s">
        <v>73</v>
      </c>
      <c r="AK575" s="676">
        <v>44235</v>
      </c>
      <c r="AL575" s="115" t="s">
        <v>3923</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4474</v>
      </c>
    </row>
    <row r="576" spans="1:84" s="1072" customFormat="1" ht="85.5" hidden="1" customHeight="1">
      <c r="B576" s="1073"/>
      <c r="C576" s="1688"/>
      <c r="D576" s="1688"/>
      <c r="E576" s="1074"/>
      <c r="F576" s="1074"/>
      <c r="G576" s="556"/>
      <c r="H576" s="612"/>
      <c r="I576" s="612"/>
      <c r="J576" s="612"/>
      <c r="K576" s="1075">
        <v>2021</v>
      </c>
      <c r="L576" s="1449">
        <v>215012</v>
      </c>
      <c r="M576" s="1449"/>
      <c r="N576" s="1076" t="s">
        <v>165</v>
      </c>
      <c r="O576" s="1077" t="s">
        <v>3604</v>
      </c>
      <c r="P576" s="789" t="s">
        <v>250</v>
      </c>
      <c r="Q576" s="1078" t="s">
        <v>3617</v>
      </c>
      <c r="R576" s="1078"/>
      <c r="S576" s="1079">
        <v>144561.23000000001</v>
      </c>
      <c r="T576" s="1080"/>
      <c r="U576" s="1081">
        <v>44228</v>
      </c>
      <c r="V576" s="1082">
        <v>44255</v>
      </c>
      <c r="W576" s="1083">
        <v>44228</v>
      </c>
      <c r="X576" s="1077" t="s">
        <v>2935</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54"/>
      <c r="BG576" s="1093"/>
      <c r="BH576" s="1093"/>
      <c r="BI576" s="1093"/>
      <c r="BJ576" s="1103"/>
      <c r="BK576" s="1104"/>
      <c r="BL576" s="1905"/>
      <c r="BM576" s="1500"/>
      <c r="BN576" s="1501"/>
      <c r="BO576" s="1501"/>
      <c r="BP576" s="1517"/>
      <c r="BQ576" s="1517"/>
      <c r="BR576" s="1517"/>
      <c r="BS576" s="924"/>
      <c r="BT576" s="1517"/>
      <c r="BU576" s="1517"/>
      <c r="BV576" s="1517"/>
      <c r="BW576" s="1500"/>
      <c r="BX576" s="1104"/>
      <c r="BY576" s="1280" t="s">
        <v>3733</v>
      </c>
      <c r="BZ576" s="1280"/>
      <c r="CA576" s="1104"/>
      <c r="CB576" s="1104"/>
      <c r="CC576" s="1104"/>
      <c r="CD576" s="1104"/>
      <c r="CE576" s="1516" t="s">
        <v>2094</v>
      </c>
      <c r="CF576" s="1107"/>
    </row>
    <row r="577" spans="1:84" ht="144.75" hidden="1" customHeight="1">
      <c r="A577" s="1467"/>
      <c r="B577" s="22"/>
      <c r="C577" s="1685"/>
      <c r="D577" s="1685"/>
      <c r="E577" s="921">
        <v>44440</v>
      </c>
      <c r="F577" s="921"/>
      <c r="G577" s="925">
        <v>44441</v>
      </c>
      <c r="H577" s="1793"/>
      <c r="I577" s="331">
        <v>44449</v>
      </c>
      <c r="J577" s="331"/>
      <c r="K577" s="169">
        <v>2021</v>
      </c>
      <c r="L577" s="1446">
        <v>215013</v>
      </c>
      <c r="M577" s="1446"/>
      <c r="N577" s="170" t="s">
        <v>165</v>
      </c>
      <c r="O577" s="178" t="s">
        <v>3605</v>
      </c>
      <c r="P577" s="172" t="s">
        <v>78</v>
      </c>
      <c r="Q577" s="173" t="s">
        <v>3613</v>
      </c>
      <c r="R577" s="173" t="s">
        <v>3626</v>
      </c>
      <c r="S577" s="174">
        <v>1127177.8999999999</v>
      </c>
      <c r="T577" s="582">
        <v>44242</v>
      </c>
      <c r="U577" s="176">
        <v>44242</v>
      </c>
      <c r="V577" s="177">
        <v>44332</v>
      </c>
      <c r="W577" s="105">
        <v>44242</v>
      </c>
      <c r="X577" s="178" t="s">
        <v>2852</v>
      </c>
      <c r="Y577" s="170" t="s">
        <v>3652</v>
      </c>
      <c r="Z577" s="201" t="s">
        <v>1176</v>
      </c>
      <c r="AA577" s="369"/>
      <c r="AB577" s="33" t="s">
        <v>3830</v>
      </c>
      <c r="AC577" s="8">
        <v>44197</v>
      </c>
      <c r="AD577" s="4">
        <v>7586594.4000000004</v>
      </c>
      <c r="AE577" s="237" t="s">
        <v>3831</v>
      </c>
      <c r="AF577" s="32">
        <v>8000000</v>
      </c>
      <c r="AG577" s="34" t="s">
        <v>67</v>
      </c>
      <c r="AH577" s="112" t="s">
        <v>67</v>
      </c>
      <c r="AI577" s="112" t="s">
        <v>67</v>
      </c>
      <c r="AJ577" s="7" t="s">
        <v>67</v>
      </c>
      <c r="AK577" s="109" t="s">
        <v>67</v>
      </c>
      <c r="AL577" s="33" t="s">
        <v>3558</v>
      </c>
      <c r="AM577" s="1" t="s">
        <v>3884</v>
      </c>
      <c r="AN577" s="5">
        <v>44292</v>
      </c>
      <c r="AO577" s="1" t="s">
        <v>3885</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3733</v>
      </c>
      <c r="BZ577" s="1273"/>
      <c r="CA577" s="13" t="s">
        <v>1294</v>
      </c>
      <c r="CB577" s="13" t="s">
        <v>1403</v>
      </c>
      <c r="CC577" s="158" t="s">
        <v>3551</v>
      </c>
      <c r="CD577" s="158"/>
      <c r="CE577" s="1246" t="s">
        <v>2094</v>
      </c>
      <c r="CF577" s="38"/>
    </row>
    <row r="578" spans="1:84" ht="134.25" hidden="1" customHeight="1">
      <c r="A578" s="1467"/>
      <c r="B578" s="22"/>
      <c r="C578" s="1685"/>
      <c r="D578" s="1685"/>
      <c r="E578" s="921">
        <v>44440</v>
      </c>
      <c r="F578" s="921"/>
      <c r="G578" s="925">
        <v>44441</v>
      </c>
      <c r="H578" s="1793"/>
      <c r="I578" s="331">
        <v>44449</v>
      </c>
      <c r="J578" s="331"/>
      <c r="K578" s="169">
        <v>2021</v>
      </c>
      <c r="L578" s="1446">
        <v>215014</v>
      </c>
      <c r="M578" s="1446"/>
      <c r="N578" s="170" t="s">
        <v>165</v>
      </c>
      <c r="O578" s="178" t="s">
        <v>3606</v>
      </c>
      <c r="P578" s="172" t="s">
        <v>78</v>
      </c>
      <c r="Q578" s="173" t="s">
        <v>3614</v>
      </c>
      <c r="R578" s="173" t="s">
        <v>3626</v>
      </c>
      <c r="S578" s="174">
        <v>1311375.01</v>
      </c>
      <c r="T578" s="582">
        <v>44242</v>
      </c>
      <c r="U578" s="176">
        <v>44242</v>
      </c>
      <c r="V578" s="177">
        <v>44332</v>
      </c>
      <c r="W578" s="105">
        <v>44242</v>
      </c>
      <c r="X578" s="178" t="s">
        <v>3888</v>
      </c>
      <c r="Y578" s="170" t="s">
        <v>3652</v>
      </c>
      <c r="Z578" s="201" t="s">
        <v>1176</v>
      </c>
      <c r="AA578" s="369"/>
      <c r="AB578" s="33" t="s">
        <v>3830</v>
      </c>
      <c r="AC578" s="8">
        <v>44197</v>
      </c>
      <c r="AD578" s="4">
        <v>7586594.4000000004</v>
      </c>
      <c r="AE578" s="237" t="s">
        <v>3831</v>
      </c>
      <c r="AF578" s="32">
        <v>8000000</v>
      </c>
      <c r="AG578" s="34" t="s">
        <v>67</v>
      </c>
      <c r="AH578" s="112" t="s">
        <v>67</v>
      </c>
      <c r="AI578" s="112" t="s">
        <v>67</v>
      </c>
      <c r="AJ578" s="7" t="s">
        <v>67</v>
      </c>
      <c r="AK578" s="109" t="s">
        <v>67</v>
      </c>
      <c r="AL578" s="33" t="s">
        <v>3877</v>
      </c>
      <c r="AM578" s="2" t="s">
        <v>3878</v>
      </c>
      <c r="AN578" s="5">
        <v>44242</v>
      </c>
      <c r="AO578" s="1" t="s">
        <v>3879</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3733</v>
      </c>
      <c r="BZ578" s="1273"/>
      <c r="CA578" s="13" t="s">
        <v>1294</v>
      </c>
      <c r="CB578" s="13" t="s">
        <v>1403</v>
      </c>
      <c r="CC578" s="158" t="s">
        <v>3551</v>
      </c>
      <c r="CD578" s="158"/>
      <c r="CE578" s="1246" t="s">
        <v>2094</v>
      </c>
      <c r="CF578" s="38"/>
    </row>
    <row r="579" spans="1:84" ht="69" hidden="1" customHeight="1">
      <c r="A579" s="1467"/>
      <c r="B579" s="22"/>
      <c r="C579" s="1685"/>
      <c r="D579" s="1685"/>
      <c r="E579" s="921">
        <v>44423</v>
      </c>
      <c r="F579" s="921"/>
      <c r="G579" s="925">
        <v>44439</v>
      </c>
      <c r="H579" s="1793"/>
      <c r="I579" s="331">
        <v>44445</v>
      </c>
      <c r="J579" s="331"/>
      <c r="K579" s="169">
        <v>2021</v>
      </c>
      <c r="L579" s="1446">
        <v>215015</v>
      </c>
      <c r="M579" s="1446"/>
      <c r="N579" s="170" t="s">
        <v>165</v>
      </c>
      <c r="O579" s="178" t="s">
        <v>3607</v>
      </c>
      <c r="P579" s="172" t="s">
        <v>78</v>
      </c>
      <c r="Q579" s="173" t="s">
        <v>3742</v>
      </c>
      <c r="R579" s="173" t="s">
        <v>2580</v>
      </c>
      <c r="S579" s="174">
        <v>347784.24</v>
      </c>
      <c r="T579" s="582">
        <v>44305</v>
      </c>
      <c r="U579" s="176">
        <v>44378</v>
      </c>
      <c r="V579" s="177">
        <v>44424</v>
      </c>
      <c r="W579" s="105">
        <v>44302</v>
      </c>
      <c r="X579" s="178" t="s">
        <v>3745</v>
      </c>
      <c r="Y579" s="170" t="s">
        <v>1106</v>
      </c>
      <c r="Z579" s="201" t="s">
        <v>1176</v>
      </c>
      <c r="AA579" s="369"/>
      <c r="AB579" s="33" t="s">
        <v>3774</v>
      </c>
      <c r="AC579" s="8">
        <v>44197</v>
      </c>
      <c r="AD579" s="4">
        <v>1300000</v>
      </c>
      <c r="AE579" s="4"/>
      <c r="AF579" s="32"/>
      <c r="AG579" s="34" t="s">
        <v>67</v>
      </c>
      <c r="AH579" s="112" t="s">
        <v>67</v>
      </c>
      <c r="AI579" s="112" t="s">
        <v>67</v>
      </c>
      <c r="AJ579" s="7" t="s">
        <v>67</v>
      </c>
      <c r="AK579" s="109" t="s">
        <v>67</v>
      </c>
      <c r="AL579" s="33" t="s">
        <v>3558</v>
      </c>
      <c r="AM579" s="1" t="s">
        <v>3873</v>
      </c>
      <c r="AN579" s="5">
        <v>44391</v>
      </c>
      <c r="AO579" s="1" t="s">
        <v>3874</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3875</v>
      </c>
      <c r="BZ579" s="1333"/>
      <c r="CA579" s="158" t="s">
        <v>3545</v>
      </c>
      <c r="CB579" s="158" t="s">
        <v>3545</v>
      </c>
      <c r="CC579" s="158" t="s">
        <v>3551</v>
      </c>
      <c r="CD579" s="158"/>
      <c r="CE579" s="1246" t="s">
        <v>2094</v>
      </c>
      <c r="CF579" s="578" t="s">
        <v>1142</v>
      </c>
    </row>
    <row r="580" spans="1:84" ht="85.5" hidden="1" customHeight="1">
      <c r="A580" s="1467"/>
      <c r="B580" s="22"/>
      <c r="C580" s="1685"/>
      <c r="D580" s="1685"/>
      <c r="E580" s="921">
        <v>44440</v>
      </c>
      <c r="F580" s="921"/>
      <c r="G580" s="925">
        <v>44701</v>
      </c>
      <c r="H580" s="1793"/>
      <c r="I580" s="331">
        <v>44727</v>
      </c>
      <c r="J580" s="331"/>
      <c r="K580" s="169">
        <v>2021</v>
      </c>
      <c r="L580" s="1446">
        <v>215016</v>
      </c>
      <c r="M580" s="1446"/>
      <c r="N580" s="170" t="s">
        <v>165</v>
      </c>
      <c r="O580" s="178" t="s">
        <v>3608</v>
      </c>
      <c r="P580" s="172" t="s">
        <v>78</v>
      </c>
      <c r="Q580" s="173" t="s">
        <v>3744</v>
      </c>
      <c r="R580" s="173" t="s">
        <v>1975</v>
      </c>
      <c r="S580" s="174">
        <v>1083547.78</v>
      </c>
      <c r="T580" s="582">
        <v>44308</v>
      </c>
      <c r="U580" s="176">
        <v>44322</v>
      </c>
      <c r="V580" s="177">
        <v>44347</v>
      </c>
      <c r="W580" s="105">
        <v>44302</v>
      </c>
      <c r="X580" s="178" t="s">
        <v>3337</v>
      </c>
      <c r="Y580" s="170" t="s">
        <v>3863</v>
      </c>
      <c r="Z580" s="201" t="s">
        <v>1176</v>
      </c>
      <c r="AA580" s="1402" t="s">
        <v>4292</v>
      </c>
      <c r="AB580" s="33" t="s">
        <v>4288</v>
      </c>
      <c r="AC580" s="8">
        <v>44336</v>
      </c>
      <c r="AD580" s="4">
        <v>1083547.78</v>
      </c>
      <c r="AE580" s="4"/>
      <c r="AF580" s="32"/>
      <c r="AG580" s="34" t="s">
        <v>67</v>
      </c>
      <c r="AH580" s="112" t="s">
        <v>67</v>
      </c>
      <c r="AI580" s="112" t="s">
        <v>67</v>
      </c>
      <c r="AJ580" s="7" t="s">
        <v>67</v>
      </c>
      <c r="AK580" s="109" t="s">
        <v>67</v>
      </c>
      <c r="AL580" s="33" t="s">
        <v>1269</v>
      </c>
      <c r="AM580" s="2" t="s">
        <v>4289</v>
      </c>
      <c r="AN580" s="239">
        <v>44308</v>
      </c>
      <c r="AO580" s="2" t="s">
        <v>4290</v>
      </c>
      <c r="AP580" s="239">
        <v>44308</v>
      </c>
      <c r="AQ580" s="2" t="s">
        <v>4291</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60"/>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3551</v>
      </c>
      <c r="CD580" s="13"/>
      <c r="CE580" s="1246" t="s">
        <v>2094</v>
      </c>
      <c r="CF580" s="1568" t="s">
        <v>1142</v>
      </c>
    </row>
    <row r="581" spans="1:84" ht="67.5" hidden="1" customHeight="1">
      <c r="A581" s="1467"/>
      <c r="B581" s="22"/>
      <c r="C581" s="1685"/>
      <c r="D581" s="1685"/>
      <c r="E581" s="921">
        <v>44805</v>
      </c>
      <c r="F581" s="921"/>
      <c r="G581" s="925">
        <v>44701</v>
      </c>
      <c r="H581" s="1793"/>
      <c r="I581" s="331">
        <v>44727</v>
      </c>
      <c r="J581" s="331"/>
      <c r="K581" s="169">
        <v>2021</v>
      </c>
      <c r="L581" s="1446">
        <v>215017</v>
      </c>
      <c r="M581" s="1446"/>
      <c r="N581" s="170" t="s">
        <v>165</v>
      </c>
      <c r="O581" s="178" t="s">
        <v>3609</v>
      </c>
      <c r="P581" s="172" t="s">
        <v>78</v>
      </c>
      <c r="Q581" s="173" t="s">
        <v>3905</v>
      </c>
      <c r="R581" s="173" t="s">
        <v>1975</v>
      </c>
      <c r="S581" s="174">
        <v>652301.56999999995</v>
      </c>
      <c r="T581" s="582">
        <v>44440</v>
      </c>
      <c r="U581" s="176">
        <v>44445</v>
      </c>
      <c r="V581" s="177">
        <v>44463</v>
      </c>
      <c r="W581" s="105">
        <v>44438</v>
      </c>
      <c r="X581" s="178" t="s">
        <v>2854</v>
      </c>
      <c r="Y581" s="170" t="s">
        <v>3050</v>
      </c>
      <c r="Z581" s="201" t="s">
        <v>1176</v>
      </c>
      <c r="AA581" s="29" t="s">
        <v>4619</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60"/>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3551</v>
      </c>
      <c r="CD581" s="13"/>
      <c r="CE581" s="1246" t="s">
        <v>2094</v>
      </c>
      <c r="CF581" s="38"/>
    </row>
    <row r="582" spans="1:84" ht="108.75" hidden="1" customHeight="1">
      <c r="A582" s="1467"/>
      <c r="B582" s="22"/>
      <c r="C582" s="1685"/>
      <c r="D582" s="1685"/>
      <c r="E582" s="921">
        <v>44805</v>
      </c>
      <c r="F582" s="921"/>
      <c r="G582" s="925">
        <v>44708</v>
      </c>
      <c r="H582" s="1793"/>
      <c r="I582" s="331">
        <v>44783</v>
      </c>
      <c r="J582" s="331"/>
      <c r="K582" s="169">
        <v>2021</v>
      </c>
      <c r="L582" s="1446">
        <v>215018</v>
      </c>
      <c r="M582" s="1446"/>
      <c r="N582" s="170" t="s">
        <v>165</v>
      </c>
      <c r="O582" s="178" t="s">
        <v>3610</v>
      </c>
      <c r="P582" s="172" t="s">
        <v>78</v>
      </c>
      <c r="Q582" s="173" t="s">
        <v>4304</v>
      </c>
      <c r="R582" s="173" t="s">
        <v>1975</v>
      </c>
      <c r="S582" s="174">
        <v>1137012.22</v>
      </c>
      <c r="T582" s="1217">
        <v>44454</v>
      </c>
      <c r="U582" s="176">
        <v>44456</v>
      </c>
      <c r="V582" s="177">
        <v>44499</v>
      </c>
      <c r="W582" s="1604">
        <v>44452</v>
      </c>
      <c r="X582" s="178" t="s">
        <v>3906</v>
      </c>
      <c r="Y582" s="170" t="s">
        <v>448</v>
      </c>
      <c r="Z582" s="1603">
        <v>44428</v>
      </c>
      <c r="AA582" s="1402" t="s">
        <v>4292</v>
      </c>
      <c r="AB582" s="1601" t="s">
        <v>3803</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7">
        <v>44456</v>
      </c>
      <c r="BC582" s="1607">
        <v>44499</v>
      </c>
      <c r="BD582" s="1607">
        <v>44478</v>
      </c>
      <c r="BE582" s="1606">
        <v>44481</v>
      </c>
      <c r="BF582" s="1675"/>
      <c r="BG582" s="1607">
        <v>44456</v>
      </c>
      <c r="BH582" s="1607">
        <v>44499</v>
      </c>
      <c r="BI582" s="1607">
        <v>44478</v>
      </c>
      <c r="BJ582" s="36"/>
      <c r="BK582" s="1605">
        <v>44481</v>
      </c>
      <c r="BL582" s="1912"/>
      <c r="BM582" s="1063"/>
      <c r="BN582" s="1600">
        <v>44455</v>
      </c>
      <c r="BO582" s="1600">
        <v>44455</v>
      </c>
      <c r="BP582" s="1065"/>
      <c r="BQ582" s="1065"/>
      <c r="BR582" s="1602">
        <v>44447</v>
      </c>
      <c r="BS582" s="924">
        <v>44447</v>
      </c>
      <c r="BT582" s="1602">
        <v>44478</v>
      </c>
      <c r="BU582" s="1602">
        <v>44481</v>
      </c>
      <c r="BV582" s="687"/>
      <c r="BW582" s="685"/>
      <c r="BX582" s="13"/>
      <c r="BY582" s="158"/>
      <c r="BZ582" s="158"/>
      <c r="CA582" s="13"/>
      <c r="CB582" s="13"/>
      <c r="CC582" s="13"/>
      <c r="CD582" s="13"/>
      <c r="CE582" s="1246" t="s">
        <v>2094</v>
      </c>
      <c r="CF582" s="38"/>
    </row>
    <row r="583" spans="1:84" ht="76.5" hidden="1" customHeight="1">
      <c r="A583" s="1467"/>
      <c r="B583" s="22"/>
      <c r="C583" s="1685"/>
      <c r="D583" s="1685"/>
      <c r="E583" s="921">
        <v>44805</v>
      </c>
      <c r="F583" s="921"/>
      <c r="G583" s="925">
        <v>44643</v>
      </c>
      <c r="H583" s="1793"/>
      <c r="I583" s="331"/>
      <c r="J583" s="331"/>
      <c r="K583" s="169">
        <v>2021</v>
      </c>
      <c r="L583" s="1446">
        <v>216001</v>
      </c>
      <c r="M583" s="1446"/>
      <c r="N583" s="170" t="s">
        <v>4036</v>
      </c>
      <c r="O583" s="178" t="s">
        <v>3441</v>
      </c>
      <c r="P583" s="172" t="s">
        <v>4035</v>
      </c>
      <c r="Q583" s="173" t="s">
        <v>4037</v>
      </c>
      <c r="R583" s="173" t="s">
        <v>1975</v>
      </c>
      <c r="S583" s="586">
        <v>100000</v>
      </c>
      <c r="T583" s="582">
        <v>44504</v>
      </c>
      <c r="U583" s="176">
        <v>44508</v>
      </c>
      <c r="V583" s="177">
        <v>44561</v>
      </c>
      <c r="W583" s="105" t="s">
        <v>1427</v>
      </c>
      <c r="X583" s="178" t="s">
        <v>1176</v>
      </c>
      <c r="Y583" s="170" t="s">
        <v>212</v>
      </c>
      <c r="Z583" s="201" t="s">
        <v>1427</v>
      </c>
      <c r="AA583" s="1403" t="s">
        <v>73</v>
      </c>
      <c r="AB583" s="33" t="s">
        <v>4508</v>
      </c>
      <c r="AC583" s="8">
        <v>44465</v>
      </c>
      <c r="AD583" s="79">
        <v>100000</v>
      </c>
      <c r="AE583" s="79"/>
      <c r="AF583" s="642"/>
      <c r="AG583" s="574" t="s">
        <v>67</v>
      </c>
      <c r="AH583" s="575" t="s">
        <v>67</v>
      </c>
      <c r="AI583" s="575" t="s">
        <v>67</v>
      </c>
      <c r="AJ583" s="576" t="s">
        <v>67</v>
      </c>
      <c r="AK583" s="573" t="s">
        <v>67</v>
      </c>
      <c r="AL583" s="1777" t="s">
        <v>67</v>
      </c>
      <c r="AM583" s="1680" t="s">
        <v>67</v>
      </c>
      <c r="AN583" s="1704"/>
      <c r="AO583" s="1680" t="s">
        <v>67</v>
      </c>
      <c r="AP583" s="1704"/>
      <c r="AQ583" s="1680" t="s">
        <v>67</v>
      </c>
      <c r="AR583" s="1704"/>
      <c r="AS583" s="1778">
        <v>0</v>
      </c>
      <c r="AT583" s="35">
        <v>0</v>
      </c>
      <c r="AU583" s="905"/>
      <c r="AV583" s="894"/>
      <c r="AW583" s="351" t="s">
        <v>73</v>
      </c>
      <c r="AX583" s="11"/>
      <c r="AY583" s="224"/>
      <c r="AZ583" s="52"/>
      <c r="BA583" s="351" t="s">
        <v>73</v>
      </c>
      <c r="BB583" s="5"/>
      <c r="BC583" s="5"/>
      <c r="BD583" s="11"/>
      <c r="BE583" s="351" t="s">
        <v>73</v>
      </c>
      <c r="BF583" s="1666"/>
      <c r="BG583" s="5"/>
      <c r="BH583" s="5"/>
      <c r="BI583" s="5"/>
      <c r="BJ583" s="36"/>
      <c r="BK583" s="1887" t="s">
        <v>73</v>
      </c>
      <c r="BL583" s="1913"/>
      <c r="BM583" s="685"/>
      <c r="BN583" s="686" t="s">
        <v>67</v>
      </c>
      <c r="BO583" s="686" t="s">
        <v>67</v>
      </c>
      <c r="BP583" s="687"/>
      <c r="BQ583" s="687" t="s">
        <v>67</v>
      </c>
      <c r="BR583" s="687" t="s">
        <v>67</v>
      </c>
      <c r="BS583" s="924" t="s">
        <v>67</v>
      </c>
      <c r="BT583" s="687" t="s">
        <v>67</v>
      </c>
      <c r="BU583" s="1609" t="s">
        <v>67</v>
      </c>
      <c r="BV583" s="687"/>
      <c r="BW583" s="685"/>
      <c r="BX583" s="13"/>
      <c r="BY583" s="158"/>
      <c r="BZ583" s="158"/>
      <c r="CA583" s="13"/>
      <c r="CB583" s="13"/>
      <c r="CC583" s="13"/>
      <c r="CD583" s="13"/>
      <c r="CE583" s="1246" t="s">
        <v>3947</v>
      </c>
      <c r="CF583" s="38"/>
    </row>
    <row r="584" spans="1:84" ht="76.5" hidden="1" customHeight="1">
      <c r="A584" s="1467"/>
      <c r="B584" s="22"/>
      <c r="C584" s="1685">
        <v>45068</v>
      </c>
      <c r="D584" s="1888">
        <v>12</v>
      </c>
      <c r="E584" s="921">
        <v>44805</v>
      </c>
      <c r="F584" s="921"/>
      <c r="G584" s="925">
        <v>44687</v>
      </c>
      <c r="H584" s="1793"/>
      <c r="I584" s="331"/>
      <c r="J584" s="331"/>
      <c r="K584" s="169">
        <v>2021</v>
      </c>
      <c r="L584" s="1446">
        <v>216002</v>
      </c>
      <c r="M584" s="1446"/>
      <c r="N584" s="170" t="s">
        <v>165</v>
      </c>
      <c r="O584" s="178" t="s">
        <v>3442</v>
      </c>
      <c r="P584" s="172" t="s">
        <v>4035</v>
      </c>
      <c r="Q584" s="173" t="s">
        <v>4164</v>
      </c>
      <c r="R584" s="173" t="s">
        <v>1975</v>
      </c>
      <c r="S584" s="586">
        <v>400000</v>
      </c>
      <c r="T584" s="582">
        <v>44560</v>
      </c>
      <c r="U584" s="176">
        <v>44561</v>
      </c>
      <c r="V584" s="177">
        <v>44651</v>
      </c>
      <c r="W584" s="105" t="s">
        <v>1427</v>
      </c>
      <c r="X584" s="178" t="s">
        <v>1176</v>
      </c>
      <c r="Y584" s="170" t="s">
        <v>448</v>
      </c>
      <c r="Z584" s="201" t="s">
        <v>1427</v>
      </c>
      <c r="AA584" s="369" t="s">
        <v>4486</v>
      </c>
      <c r="AB584" s="33" t="s">
        <v>3803</v>
      </c>
      <c r="AC584" s="8"/>
      <c r="AD584" s="79"/>
      <c r="AE584" s="79"/>
      <c r="AF584" s="642"/>
      <c r="AG584" s="574" t="s">
        <v>67</v>
      </c>
      <c r="AH584" s="575" t="s">
        <v>67</v>
      </c>
      <c r="AI584" s="575" t="s">
        <v>67</v>
      </c>
      <c r="AJ584" s="576" t="s">
        <v>67</v>
      </c>
      <c r="AK584" s="573" t="s">
        <v>67</v>
      </c>
      <c r="AL584" s="1777" t="s">
        <v>67</v>
      </c>
      <c r="AM584" s="1680" t="s">
        <v>67</v>
      </c>
      <c r="AN584" s="1704"/>
      <c r="AO584" s="1680" t="s">
        <v>67</v>
      </c>
      <c r="AP584" s="1704"/>
      <c r="AQ584" s="1680" t="s">
        <v>67</v>
      </c>
      <c r="AR584" s="1704"/>
      <c r="AS584" s="1778">
        <v>0</v>
      </c>
      <c r="AT584" s="35">
        <v>0</v>
      </c>
      <c r="AU584" s="905"/>
      <c r="AV584" s="894"/>
      <c r="AW584" s="351" t="s">
        <v>73</v>
      </c>
      <c r="AX584" s="11"/>
      <c r="AY584" s="224"/>
      <c r="AZ584" s="52"/>
      <c r="BA584" s="351" t="s">
        <v>73</v>
      </c>
      <c r="BB584" s="5"/>
      <c r="BC584" s="5"/>
      <c r="BD584" s="11"/>
      <c r="BE584" s="351" t="s">
        <v>73</v>
      </c>
      <c r="BF584" s="1666"/>
      <c r="BG584" s="5"/>
      <c r="BH584" s="5"/>
      <c r="BI584" s="5"/>
      <c r="BJ584" s="36"/>
      <c r="BK584" s="1887" t="s">
        <v>73</v>
      </c>
      <c r="BL584" s="1913"/>
      <c r="BM584" s="337">
        <v>44560</v>
      </c>
      <c r="BN584" s="686" t="s">
        <v>67</v>
      </c>
      <c r="BO584" s="686" t="s">
        <v>67</v>
      </c>
      <c r="BP584" s="687"/>
      <c r="BQ584" s="687" t="s">
        <v>67</v>
      </c>
      <c r="BR584" s="687" t="s">
        <v>67</v>
      </c>
      <c r="BS584" s="924" t="s">
        <v>67</v>
      </c>
      <c r="BT584" s="687" t="s">
        <v>67</v>
      </c>
      <c r="BU584" s="1609" t="s">
        <v>67</v>
      </c>
      <c r="BV584" s="687"/>
      <c r="BW584" s="685"/>
      <c r="BX584" s="13"/>
      <c r="BY584" s="158"/>
      <c r="BZ584" s="158"/>
      <c r="CA584" s="13"/>
      <c r="CB584" s="13"/>
      <c r="CC584" s="13"/>
      <c r="CD584" s="13"/>
      <c r="CE584" s="1246" t="s">
        <v>3947</v>
      </c>
      <c r="CF584" s="38"/>
    </row>
    <row r="585" spans="1:84" ht="72" hidden="1" customHeight="1">
      <c r="A585" s="1467"/>
      <c r="B585" s="22"/>
      <c r="C585" s="1685"/>
      <c r="D585" s="1685"/>
      <c r="E585" s="921"/>
      <c r="F585" s="921"/>
      <c r="G585" s="925"/>
      <c r="H585" s="1793"/>
      <c r="I585" s="331"/>
      <c r="J585" s="331"/>
      <c r="K585" s="169">
        <v>2021</v>
      </c>
      <c r="L585" s="1446">
        <v>217001</v>
      </c>
      <c r="M585" s="1446"/>
      <c r="N585" s="170" t="s">
        <v>165</v>
      </c>
      <c r="O585" s="178" t="s">
        <v>3749</v>
      </c>
      <c r="P585" s="172" t="s">
        <v>45</v>
      </c>
      <c r="Q585" s="173" t="s">
        <v>4040</v>
      </c>
      <c r="R585" s="173" t="s">
        <v>1975</v>
      </c>
      <c r="S585" s="586">
        <f>37000*1.16</f>
        <v>42920</v>
      </c>
      <c r="T585" s="582">
        <v>44512</v>
      </c>
      <c r="U585" s="176" t="s">
        <v>67</v>
      </c>
      <c r="V585" s="177" t="s">
        <v>67</v>
      </c>
      <c r="W585" s="667" t="s">
        <v>1427</v>
      </c>
      <c r="X585" s="178" t="s">
        <v>3961</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3947</v>
      </c>
      <c r="CF585" s="38"/>
    </row>
    <row r="586" spans="1:84" ht="78" hidden="1" customHeight="1">
      <c r="A586" s="1467"/>
      <c r="B586" s="22"/>
      <c r="C586" s="1685"/>
      <c r="D586" s="1685"/>
      <c r="E586" s="921"/>
      <c r="F586" s="921"/>
      <c r="G586" s="925"/>
      <c r="H586" s="1793"/>
      <c r="I586" s="331"/>
      <c r="J586" s="331"/>
      <c r="K586" s="169">
        <v>2021</v>
      </c>
      <c r="L586" s="1446">
        <v>217002</v>
      </c>
      <c r="M586" s="1446"/>
      <c r="N586" s="170" t="s">
        <v>165</v>
      </c>
      <c r="O586" s="178" t="s">
        <v>3750</v>
      </c>
      <c r="P586" s="172" t="s">
        <v>45</v>
      </c>
      <c r="Q586" s="173" t="s">
        <v>4041</v>
      </c>
      <c r="R586" s="173" t="s">
        <v>2580</v>
      </c>
      <c r="S586" s="586">
        <f>5000*1.16</f>
        <v>5800</v>
      </c>
      <c r="T586" s="582">
        <v>44512</v>
      </c>
      <c r="U586" s="176" t="s">
        <v>67</v>
      </c>
      <c r="V586" s="177" t="s">
        <v>67</v>
      </c>
      <c r="W586" s="667" t="s">
        <v>1427</v>
      </c>
      <c r="X586" s="178" t="s">
        <v>4221</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3947</v>
      </c>
      <c r="CF586" s="38"/>
    </row>
    <row r="587" spans="1:84" ht="222" hidden="1" customHeight="1">
      <c r="A587" s="1467"/>
      <c r="B587" s="22"/>
      <c r="C587" s="1685"/>
      <c r="D587" s="1685"/>
      <c r="E587" s="921"/>
      <c r="F587" s="921"/>
      <c r="G587" s="925"/>
      <c r="H587" s="1793"/>
      <c r="I587" s="331"/>
      <c r="J587" s="331"/>
      <c r="K587" s="169">
        <v>2021</v>
      </c>
      <c r="L587" s="1446">
        <v>217003</v>
      </c>
      <c r="M587" s="1446"/>
      <c r="N587" s="170" t="s">
        <v>165</v>
      </c>
      <c r="O587" s="178" t="s">
        <v>3751</v>
      </c>
      <c r="P587" s="172" t="s">
        <v>45</v>
      </c>
      <c r="Q587" s="173" t="s">
        <v>4042</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3947</v>
      </c>
      <c r="CF587" s="38"/>
    </row>
    <row r="588" spans="1:84" ht="122.25" hidden="1" customHeight="1">
      <c r="A588" s="1467"/>
      <c r="B588" s="22"/>
      <c r="C588" s="1685"/>
      <c r="D588" s="1685"/>
      <c r="E588" s="921"/>
      <c r="F588" s="921"/>
      <c r="G588" s="925"/>
      <c r="H588" s="1793"/>
      <c r="I588" s="331"/>
      <c r="J588" s="331"/>
      <c r="K588" s="169">
        <v>2021</v>
      </c>
      <c r="L588" s="1446">
        <v>217004</v>
      </c>
      <c r="M588" s="1446"/>
      <c r="N588" s="170" t="s">
        <v>165</v>
      </c>
      <c r="O588" s="178" t="s">
        <v>3752</v>
      </c>
      <c r="P588" s="172" t="s">
        <v>45</v>
      </c>
      <c r="Q588" s="173" t="s">
        <v>4044</v>
      </c>
      <c r="R588" s="173" t="s">
        <v>1975</v>
      </c>
      <c r="S588" s="586">
        <f>25000*1.16</f>
        <v>28999.999999999996</v>
      </c>
      <c r="T588" s="582">
        <v>44533</v>
      </c>
      <c r="U588" s="176">
        <v>44543</v>
      </c>
      <c r="V588" s="177">
        <v>44546</v>
      </c>
      <c r="W588" s="667" t="s">
        <v>1427</v>
      </c>
      <c r="X588" s="178" t="s">
        <v>3475</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3947</v>
      </c>
      <c r="CF588" s="38"/>
    </row>
    <row r="589" spans="1:84" s="104" customFormat="1" ht="113.25" hidden="1" customHeight="1">
      <c r="A589"/>
      <c r="B589" s="81"/>
      <c r="C589" s="1687"/>
      <c r="D589" s="1687"/>
      <c r="E589" s="1009"/>
      <c r="F589" s="1009"/>
      <c r="G589" s="123"/>
      <c r="H589" s="1885"/>
      <c r="I589" s="612"/>
      <c r="J589" s="612"/>
      <c r="K589" s="1010">
        <v>2021</v>
      </c>
      <c r="L589" s="1448">
        <v>218001</v>
      </c>
      <c r="M589" s="1448"/>
      <c r="N589" s="613"/>
      <c r="O589" s="618" t="s">
        <v>3449</v>
      </c>
      <c r="P589" s="646" t="s">
        <v>250</v>
      </c>
      <c r="Q589" s="647" t="s">
        <v>250</v>
      </c>
      <c r="R589" s="647"/>
      <c r="S589" s="614"/>
      <c r="T589" s="615"/>
      <c r="U589" s="616"/>
      <c r="V589" s="617"/>
      <c r="W589" s="371"/>
      <c r="X589" s="618" t="s">
        <v>3906</v>
      </c>
      <c r="Y589" s="613" t="s">
        <v>448</v>
      </c>
      <c r="Z589" s="557" t="s">
        <v>4484</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74"/>
      <c r="BG589" s="88"/>
      <c r="BH589" s="88"/>
      <c r="BI589" s="88"/>
      <c r="BJ589" s="99"/>
      <c r="BK589" s="1519" t="s">
        <v>73</v>
      </c>
      <c r="BL589" s="1911"/>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3947</v>
      </c>
      <c r="CF589" s="864"/>
    </row>
    <row r="590" spans="1:84" ht="78" hidden="1" customHeight="1">
      <c r="A590" s="1467"/>
      <c r="B590" s="22"/>
      <c r="C590" s="1685"/>
      <c r="D590" s="1685"/>
      <c r="E590" s="921">
        <v>44805</v>
      </c>
      <c r="F590" s="921"/>
      <c r="G590" s="925">
        <v>44687</v>
      </c>
      <c r="H590" s="1793"/>
      <c r="I590" s="331"/>
      <c r="J590" s="331"/>
      <c r="K590" s="169">
        <v>2021</v>
      </c>
      <c r="L590" s="1446">
        <v>218002</v>
      </c>
      <c r="M590" s="1446"/>
      <c r="N590" s="170" t="s">
        <v>165</v>
      </c>
      <c r="O590" s="178" t="s">
        <v>3450</v>
      </c>
      <c r="P590" s="172" t="s">
        <v>78</v>
      </c>
      <c r="Q590" s="173" t="s">
        <v>4039</v>
      </c>
      <c r="R590" s="173" t="s">
        <v>2518</v>
      </c>
      <c r="S590" s="586">
        <v>715198.43</v>
      </c>
      <c r="T590" s="582">
        <v>44504</v>
      </c>
      <c r="U590" s="176">
        <v>44508</v>
      </c>
      <c r="V590" s="177">
        <v>44548</v>
      </c>
      <c r="W590" s="105">
        <v>44504</v>
      </c>
      <c r="X590" s="178" t="s">
        <v>738</v>
      </c>
      <c r="Y590" s="170" t="s">
        <v>448</v>
      </c>
      <c r="Z590" s="201" t="s">
        <v>1427</v>
      </c>
      <c r="AA590" s="1402" t="s">
        <v>4292</v>
      </c>
      <c r="AB590" s="33" t="s">
        <v>4485</v>
      </c>
      <c r="AC590" s="8"/>
      <c r="AD590" s="79">
        <f>450343.61+264854.82</f>
        <v>715198.42999999993</v>
      </c>
      <c r="AE590" s="79"/>
      <c r="AF590" s="642"/>
      <c r="AG590" s="574" t="s">
        <v>67</v>
      </c>
      <c r="AH590" s="575" t="s">
        <v>67</v>
      </c>
      <c r="AI590" s="575" t="s">
        <v>67</v>
      </c>
      <c r="AJ590" s="576" t="s">
        <v>67</v>
      </c>
      <c r="AK590" s="573" t="s">
        <v>67</v>
      </c>
      <c r="AL590" s="33" t="s">
        <v>5673</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66"/>
      <c r="BG590" s="5"/>
      <c r="BH590" s="5"/>
      <c r="BI590" s="5"/>
      <c r="BJ590" s="36"/>
      <c r="BK590" s="1887" t="s">
        <v>73</v>
      </c>
      <c r="BL590" s="1913"/>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3947</v>
      </c>
      <c r="CF590" s="38"/>
    </row>
    <row r="591" spans="1:84" ht="108.75" hidden="1" customHeight="1">
      <c r="A591" s="1467"/>
      <c r="B591" s="22"/>
      <c r="C591" s="1685"/>
      <c r="D591" s="1685"/>
      <c r="E591" s="921">
        <v>44805</v>
      </c>
      <c r="F591" s="921"/>
      <c r="G591" s="925">
        <v>44624</v>
      </c>
      <c r="H591" s="1793"/>
      <c r="I591" s="331">
        <v>44603</v>
      </c>
      <c r="J591" s="331"/>
      <c r="K591" s="169">
        <v>2021</v>
      </c>
      <c r="L591" s="1446">
        <v>218003</v>
      </c>
      <c r="M591" s="1446"/>
      <c r="N591" s="170" t="s">
        <v>76</v>
      </c>
      <c r="O591" s="178" t="s">
        <v>3451</v>
      </c>
      <c r="P591" s="172" t="s">
        <v>78</v>
      </c>
      <c r="Q591" s="173" t="s">
        <v>4031</v>
      </c>
      <c r="R591" s="173" t="s">
        <v>4412</v>
      </c>
      <c r="S591" s="586">
        <v>347130.34</v>
      </c>
      <c r="T591" s="582">
        <v>44522</v>
      </c>
      <c r="U591" s="176">
        <v>44523</v>
      </c>
      <c r="V591" s="177">
        <v>44560</v>
      </c>
      <c r="W591" s="105">
        <v>44518</v>
      </c>
      <c r="X591" s="178" t="s">
        <v>738</v>
      </c>
      <c r="Y591" s="170" t="s">
        <v>448</v>
      </c>
      <c r="Z591" s="201">
        <v>44510</v>
      </c>
      <c r="AA591" s="1402" t="s">
        <v>4292</v>
      </c>
      <c r="AB591" s="33" t="s">
        <v>4198</v>
      </c>
      <c r="AC591" s="8">
        <v>44504</v>
      </c>
      <c r="AD591" s="79">
        <v>347130.34</v>
      </c>
      <c r="AE591" s="79"/>
      <c r="AF591" s="642"/>
      <c r="AG591" s="574" t="s">
        <v>67</v>
      </c>
      <c r="AH591" s="575" t="s">
        <v>67</v>
      </c>
      <c r="AI591" s="575" t="s">
        <v>67</v>
      </c>
      <c r="AJ591" s="576" t="s">
        <v>67</v>
      </c>
      <c r="AK591" s="573" t="s">
        <v>67</v>
      </c>
      <c r="AL591" s="33" t="s">
        <v>4199</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60"/>
      <c r="BG591" s="5">
        <v>44524</v>
      </c>
      <c r="BH591" s="5">
        <v>44560</v>
      </c>
      <c r="BI591" s="5">
        <v>44539</v>
      </c>
      <c r="BJ591" s="36">
        <f>AU591</f>
        <v>347130.34</v>
      </c>
      <c r="BK591" s="622">
        <v>44540</v>
      </c>
      <c r="BL591" s="337"/>
      <c r="BM591" s="337">
        <v>44522</v>
      </c>
      <c r="BN591" s="71">
        <v>44516</v>
      </c>
      <c r="BO591" s="71">
        <v>44523</v>
      </c>
      <c r="BP591" s="621" t="s">
        <v>73</v>
      </c>
      <c r="BQ591" s="71">
        <v>44516</v>
      </c>
      <c r="BR591" s="128" t="s">
        <v>4487</v>
      </c>
      <c r="BS591" s="924">
        <v>44516</v>
      </c>
      <c r="BT591" s="71">
        <v>44539</v>
      </c>
      <c r="BU591" s="71">
        <v>44540</v>
      </c>
      <c r="BV591" s="687"/>
      <c r="BW591" s="685"/>
      <c r="BX591" s="13"/>
      <c r="BY591" s="158"/>
      <c r="BZ591" s="158"/>
      <c r="CA591" s="13"/>
      <c r="CB591" s="13"/>
      <c r="CC591" s="13"/>
      <c r="CD591" s="13"/>
      <c r="CE591" s="1246" t="s">
        <v>3947</v>
      </c>
      <c r="CF591" s="38"/>
    </row>
    <row r="592" spans="1:84" ht="122.25" hidden="1" customHeight="1">
      <c r="A592" s="1467"/>
      <c r="B592" s="22"/>
      <c r="C592" s="1685"/>
      <c r="D592" s="1685"/>
      <c r="E592" s="921">
        <v>44805</v>
      </c>
      <c r="F592" s="921"/>
      <c r="G592" s="925">
        <v>44624</v>
      </c>
      <c r="H592" s="1793"/>
      <c r="I592" s="331">
        <v>44603</v>
      </c>
      <c r="J592" s="331"/>
      <c r="K592" s="169">
        <v>2021</v>
      </c>
      <c r="L592" s="1446">
        <v>218004</v>
      </c>
      <c r="M592" s="1446"/>
      <c r="N592" s="170" t="s">
        <v>76</v>
      </c>
      <c r="O592" s="178" t="s">
        <v>3452</v>
      </c>
      <c r="P592" s="172" t="s">
        <v>78</v>
      </c>
      <c r="Q592" s="173" t="s">
        <v>4032</v>
      </c>
      <c r="R592" s="173" t="s">
        <v>4412</v>
      </c>
      <c r="S592" s="586">
        <v>791064.19</v>
      </c>
      <c r="T592" s="582">
        <v>44522</v>
      </c>
      <c r="U592" s="176">
        <v>44523</v>
      </c>
      <c r="V592" s="177">
        <v>44530</v>
      </c>
      <c r="W592" s="105">
        <v>44518</v>
      </c>
      <c r="X592" s="178" t="s">
        <v>738</v>
      </c>
      <c r="Y592" s="170" t="s">
        <v>448</v>
      </c>
      <c r="Z592" s="201">
        <v>44510</v>
      </c>
      <c r="AA592" s="1402" t="s">
        <v>4292</v>
      </c>
      <c r="AB592" s="33" t="s">
        <v>3831</v>
      </c>
      <c r="AC592" s="8">
        <v>44504</v>
      </c>
      <c r="AD592" s="79">
        <v>791064.19</v>
      </c>
      <c r="AE592" s="79"/>
      <c r="AF592" s="642"/>
      <c r="AG592" s="574" t="s">
        <v>67</v>
      </c>
      <c r="AH592" s="575" t="s">
        <v>67</v>
      </c>
      <c r="AI592" s="575" t="s">
        <v>67</v>
      </c>
      <c r="AJ592" s="576" t="s">
        <v>67</v>
      </c>
      <c r="AK592" s="573" t="s">
        <v>67</v>
      </c>
      <c r="AL592" s="33" t="s">
        <v>4199</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60"/>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3947</v>
      </c>
      <c r="CF592" s="38"/>
    </row>
    <row r="593" spans="1:84" ht="76.5" hidden="1" customHeight="1">
      <c r="A593" s="1467"/>
      <c r="B593" s="22"/>
      <c r="C593" s="1685"/>
      <c r="D593" s="1685"/>
      <c r="E593" s="921">
        <v>44805</v>
      </c>
      <c r="F593" s="921"/>
      <c r="G593" s="925">
        <v>44701</v>
      </c>
      <c r="H593" s="1793"/>
      <c r="I593" s="331">
        <v>37298</v>
      </c>
      <c r="J593" s="331"/>
      <c r="K593" s="169">
        <v>2021</v>
      </c>
      <c r="L593" s="1446">
        <v>218005</v>
      </c>
      <c r="M593" s="1446"/>
      <c r="N593" s="170" t="s">
        <v>76</v>
      </c>
      <c r="O593" s="178" t="s">
        <v>3453</v>
      </c>
      <c r="P593" s="172" t="s">
        <v>78</v>
      </c>
      <c r="Q593" s="173" t="s">
        <v>4033</v>
      </c>
      <c r="R593" s="173" t="s">
        <v>1975</v>
      </c>
      <c r="S593" s="586">
        <v>100144.26</v>
      </c>
      <c r="T593" s="582">
        <v>44522</v>
      </c>
      <c r="U593" s="176">
        <v>44524</v>
      </c>
      <c r="V593" s="177">
        <v>44558</v>
      </c>
      <c r="W593" s="105">
        <v>44522</v>
      </c>
      <c r="X593" s="178" t="s">
        <v>3315</v>
      </c>
      <c r="Y593" s="170" t="s">
        <v>448</v>
      </c>
      <c r="Z593" s="201">
        <v>44522</v>
      </c>
      <c r="AA593" s="1402" t="s">
        <v>4292</v>
      </c>
      <c r="AB593" s="33" t="s">
        <v>4201</v>
      </c>
      <c r="AC593" s="8">
        <v>44520</v>
      </c>
      <c r="AD593" s="79">
        <v>100144.26</v>
      </c>
      <c r="AE593" s="79"/>
      <c r="AF593" s="642"/>
      <c r="AG593" s="574" t="s">
        <v>67</v>
      </c>
      <c r="AH593" s="575" t="s">
        <v>67</v>
      </c>
      <c r="AI593" s="575" t="s">
        <v>67</v>
      </c>
      <c r="AJ593" s="576" t="s">
        <v>67</v>
      </c>
      <c r="AK593" s="573" t="s">
        <v>67</v>
      </c>
      <c r="AL593" s="33" t="s">
        <v>1010</v>
      </c>
      <c r="AM593" s="1" t="s">
        <v>67</v>
      </c>
      <c r="AN593" s="5"/>
      <c r="AO593" s="2" t="s">
        <v>4202</v>
      </c>
      <c r="AP593" s="5">
        <v>44524</v>
      </c>
      <c r="AQ593" s="2" t="s">
        <v>4203</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60"/>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3947</v>
      </c>
      <c r="CF593" s="38"/>
    </row>
    <row r="594" spans="1:84" ht="81" hidden="1" customHeight="1">
      <c r="A594" s="1467"/>
      <c r="B594" s="22"/>
      <c r="C594" s="1685"/>
      <c r="D594" s="1685"/>
      <c r="E594" s="921">
        <v>44805</v>
      </c>
      <c r="F594" s="921"/>
      <c r="G594" s="925">
        <v>44595</v>
      </c>
      <c r="H594" s="1793"/>
      <c r="I594" s="331">
        <v>44603</v>
      </c>
      <c r="J594" s="331"/>
      <c r="K594" s="169">
        <v>2021</v>
      </c>
      <c r="L594" s="1446">
        <v>218006</v>
      </c>
      <c r="M594" s="1446"/>
      <c r="N594" s="170" t="s">
        <v>76</v>
      </c>
      <c r="O594" s="178" t="s">
        <v>3454</v>
      </c>
      <c r="P594" s="172" t="s">
        <v>78</v>
      </c>
      <c r="Q594" s="173" t="s">
        <v>4034</v>
      </c>
      <c r="R594" s="173" t="s">
        <v>4412</v>
      </c>
      <c r="S594" s="586">
        <v>252763.45</v>
      </c>
      <c r="T594" s="582">
        <v>44522</v>
      </c>
      <c r="U594" s="176">
        <v>44523</v>
      </c>
      <c r="V594" s="177">
        <v>44559</v>
      </c>
      <c r="W594" s="105">
        <v>44522</v>
      </c>
      <c r="X594" s="178" t="s">
        <v>738</v>
      </c>
      <c r="Y594" s="170" t="s">
        <v>448</v>
      </c>
      <c r="Z594" s="201">
        <v>44510</v>
      </c>
      <c r="AA594" s="1402" t="s">
        <v>4292</v>
      </c>
      <c r="AB594" s="33" t="s">
        <v>4200</v>
      </c>
      <c r="AC594" s="8">
        <v>44520</v>
      </c>
      <c r="AD594" s="79">
        <v>252763.45</v>
      </c>
      <c r="AE594" s="79"/>
      <c r="AF594" s="642"/>
      <c r="AG594" s="574" t="s">
        <v>67</v>
      </c>
      <c r="AH594" s="575" t="s">
        <v>67</v>
      </c>
      <c r="AI594" s="575" t="s">
        <v>67</v>
      </c>
      <c r="AJ594" s="576" t="s">
        <v>67</v>
      </c>
      <c r="AK594" s="573" t="s">
        <v>67</v>
      </c>
      <c r="AL594" s="33" t="s">
        <v>4199</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60"/>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3947</v>
      </c>
      <c r="CF594" s="38"/>
    </row>
    <row r="595" spans="1:84" ht="87.75" hidden="1" customHeight="1">
      <c r="A595" s="1467"/>
      <c r="B595" s="22"/>
      <c r="C595" s="1685"/>
      <c r="D595" s="1685"/>
      <c r="E595" s="921">
        <v>44805</v>
      </c>
      <c r="F595" s="921"/>
      <c r="G595" s="925">
        <v>44701</v>
      </c>
      <c r="H595" s="1793"/>
      <c r="I595" s="331">
        <v>44659</v>
      </c>
      <c r="J595" s="331"/>
      <c r="K595" s="169">
        <v>2021</v>
      </c>
      <c r="L595" s="1446">
        <v>218007</v>
      </c>
      <c r="M595" s="1446"/>
      <c r="N595" s="170" t="s">
        <v>165</v>
      </c>
      <c r="O595" s="178" t="s">
        <v>3455</v>
      </c>
      <c r="P595" s="172" t="s">
        <v>78</v>
      </c>
      <c r="Q595" s="173" t="s">
        <v>4038</v>
      </c>
      <c r="R595" s="173" t="s">
        <v>2541</v>
      </c>
      <c r="S595" s="586">
        <v>360015.52</v>
      </c>
      <c r="T595" s="582">
        <v>44560</v>
      </c>
      <c r="U595" s="176">
        <v>44560</v>
      </c>
      <c r="V595" s="177">
        <v>44569</v>
      </c>
      <c r="W595" s="105">
        <v>44560</v>
      </c>
      <c r="X595" s="178" t="s">
        <v>738</v>
      </c>
      <c r="Y595" s="170" t="s">
        <v>69</v>
      </c>
      <c r="Z595" s="201" t="s">
        <v>1427</v>
      </c>
      <c r="AA595" s="1402" t="s">
        <v>4619</v>
      </c>
      <c r="AB595" s="33" t="s">
        <v>4284</v>
      </c>
      <c r="AC595" s="8">
        <v>44560</v>
      </c>
      <c r="AD595" s="79">
        <v>360015.52</v>
      </c>
      <c r="AE595" s="79"/>
      <c r="AF595" s="642"/>
      <c r="AG595" s="574" t="s">
        <v>67</v>
      </c>
      <c r="AH595" s="575" t="s">
        <v>67</v>
      </c>
      <c r="AI595" s="575" t="s">
        <v>67</v>
      </c>
      <c r="AJ595" s="576" t="s">
        <v>67</v>
      </c>
      <c r="AK595" s="573" t="s">
        <v>67</v>
      </c>
      <c r="AL595" s="33" t="s">
        <v>4199</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60"/>
      <c r="BG595" s="71">
        <v>44560</v>
      </c>
      <c r="BH595" s="71">
        <v>44571</v>
      </c>
      <c r="BI595" s="71">
        <v>44571</v>
      </c>
      <c r="BJ595" s="129">
        <f>AU595</f>
        <v>347130.35</v>
      </c>
      <c r="BK595" s="1890">
        <v>44571</v>
      </c>
      <c r="BL595" s="1914"/>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3947</v>
      </c>
      <c r="CF595" s="38"/>
    </row>
    <row r="596" spans="1:84" ht="87.75" hidden="1" customHeight="1">
      <c r="A596" s="1467">
        <v>0</v>
      </c>
      <c r="B596" s="22"/>
      <c r="C596" s="1685"/>
      <c r="D596" s="1685"/>
      <c r="E596" s="921">
        <v>44805</v>
      </c>
      <c r="F596" s="921">
        <v>44774</v>
      </c>
      <c r="G596" s="925">
        <v>45072</v>
      </c>
      <c r="H596" s="1793"/>
      <c r="I596" s="331">
        <v>45084</v>
      </c>
      <c r="J596" s="331"/>
      <c r="K596" s="169">
        <v>2022</v>
      </c>
      <c r="L596" s="1446">
        <v>221001</v>
      </c>
      <c r="M596" s="1446"/>
      <c r="N596" s="170" t="s">
        <v>165</v>
      </c>
      <c r="O596" s="178" t="s">
        <v>4310</v>
      </c>
      <c r="P596" s="172" t="s">
        <v>4035</v>
      </c>
      <c r="Q596" s="173" t="s">
        <v>4507</v>
      </c>
      <c r="R596" s="173" t="s">
        <v>67</v>
      </c>
      <c r="S596" s="586">
        <v>70000</v>
      </c>
      <c r="T596" s="582">
        <v>44693</v>
      </c>
      <c r="U596" s="176">
        <v>44697</v>
      </c>
      <c r="V596" s="177">
        <v>44728</v>
      </c>
      <c r="W596" s="105" t="s">
        <v>1427</v>
      </c>
      <c r="X596" s="178" t="s">
        <v>1176</v>
      </c>
      <c r="Y596" s="170" t="s">
        <v>212</v>
      </c>
      <c r="Z596" s="201" t="s">
        <v>1427</v>
      </c>
      <c r="AA596" s="369" t="s">
        <v>5006</v>
      </c>
      <c r="AB596" s="33" t="s">
        <v>4386</v>
      </c>
      <c r="AC596" s="8">
        <v>44692</v>
      </c>
      <c r="AD596" s="79">
        <v>70000</v>
      </c>
      <c r="AE596" s="79"/>
      <c r="AF596" s="642"/>
      <c r="AG596" s="574" t="s">
        <v>67</v>
      </c>
      <c r="AH596" s="575" t="s">
        <v>67</v>
      </c>
      <c r="AI596" s="575" t="s">
        <v>67</v>
      </c>
      <c r="AJ596" s="576" t="s">
        <v>67</v>
      </c>
      <c r="AK596" s="573" t="s">
        <v>67</v>
      </c>
      <c r="AL596" s="1777" t="s">
        <v>67</v>
      </c>
      <c r="AM596" s="1680" t="s">
        <v>67</v>
      </c>
      <c r="AN596" s="1704"/>
      <c r="AO596" s="1680" t="s">
        <v>67</v>
      </c>
      <c r="AP596" s="1704"/>
      <c r="AQ596" s="1680" t="s">
        <v>67</v>
      </c>
      <c r="AR596" s="1704"/>
      <c r="AS596" s="1778">
        <v>0</v>
      </c>
      <c r="AT596" s="35">
        <v>0</v>
      </c>
      <c r="AU596" s="905">
        <v>15106.08</v>
      </c>
      <c r="AV596" s="894">
        <v>15106.04</v>
      </c>
      <c r="AW596" s="351" t="s">
        <v>73</v>
      </c>
      <c r="AX596" s="11"/>
      <c r="AY596" s="224"/>
      <c r="AZ596" s="52"/>
      <c r="BA596" s="351" t="s">
        <v>73</v>
      </c>
      <c r="BB596" s="5"/>
      <c r="BC596" s="5"/>
      <c r="BD596" s="11"/>
      <c r="BE596" s="351" t="s">
        <v>73</v>
      </c>
      <c r="BF596" s="1662" t="str">
        <f>O596</f>
        <v>DOP/AD/001/2022</v>
      </c>
      <c r="BG596" s="5"/>
      <c r="BH596" s="5"/>
      <c r="BI596" s="5"/>
      <c r="BJ596" s="36">
        <f>AT596+AU596</f>
        <v>15106.08</v>
      </c>
      <c r="BK596" s="1891"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3947</v>
      </c>
      <c r="CF596" s="38"/>
    </row>
    <row r="597" spans="1:84" ht="87.75" hidden="1" customHeight="1">
      <c r="A597" s="1467"/>
      <c r="B597" s="22"/>
      <c r="C597" s="1685"/>
      <c r="D597" s="1685"/>
      <c r="E597" s="921">
        <v>44805</v>
      </c>
      <c r="F597" s="1599">
        <v>44774</v>
      </c>
      <c r="G597" s="925">
        <v>44889</v>
      </c>
      <c r="H597" s="1793"/>
      <c r="I597" s="331">
        <v>45084</v>
      </c>
      <c r="J597" s="331"/>
      <c r="K597" s="169">
        <v>2022</v>
      </c>
      <c r="L597" s="1446">
        <v>221001</v>
      </c>
      <c r="M597" s="1446"/>
      <c r="N597" s="170" t="s">
        <v>76</v>
      </c>
      <c r="O597" s="178" t="s">
        <v>4311</v>
      </c>
      <c r="P597" s="172" t="s">
        <v>4035</v>
      </c>
      <c r="Q597" s="173" t="s">
        <v>4361</v>
      </c>
      <c r="R597" s="173" t="s">
        <v>3626</v>
      </c>
      <c r="S597" s="174">
        <v>60152.28</v>
      </c>
      <c r="T597" s="582">
        <v>44707</v>
      </c>
      <c r="U597" s="176">
        <v>44718</v>
      </c>
      <c r="V597" s="177">
        <v>44726</v>
      </c>
      <c r="W597" s="105" t="s">
        <v>1427</v>
      </c>
      <c r="X597" s="178" t="s">
        <v>1176</v>
      </c>
      <c r="Y597" s="170" t="s">
        <v>1106</v>
      </c>
      <c r="Z597" s="201">
        <v>44711</v>
      </c>
      <c r="AA597" s="369" t="s">
        <v>5006</v>
      </c>
      <c r="AB597" s="33" t="s">
        <v>4388</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62" t="str">
        <f>O597</f>
        <v>DOP/AD/002/2022</v>
      </c>
      <c r="BG597" s="5">
        <v>44718</v>
      </c>
      <c r="BH597" s="5">
        <v>44726</v>
      </c>
      <c r="BI597" s="5">
        <v>44726</v>
      </c>
      <c r="BJ597" s="246">
        <f>AT597+AU597+295.69</f>
        <v>63252.22</v>
      </c>
      <c r="BK597" s="1576" t="s">
        <v>67</v>
      </c>
      <c r="BL597" s="1915"/>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3947</v>
      </c>
      <c r="CF597" s="578" t="s">
        <v>1142</v>
      </c>
    </row>
    <row r="598" spans="1:84" ht="99.75" hidden="1" customHeight="1">
      <c r="A598" s="1467"/>
      <c r="B598" s="22"/>
      <c r="C598" s="1685"/>
      <c r="D598" s="1685"/>
      <c r="E598" s="921">
        <v>44805</v>
      </c>
      <c r="F598" s="921"/>
      <c r="G598" s="925">
        <v>45072</v>
      </c>
      <c r="H598" s="1793"/>
      <c r="I598" s="331">
        <v>45084</v>
      </c>
      <c r="J598" s="331"/>
      <c r="K598" s="169">
        <v>2022</v>
      </c>
      <c r="L598" s="1446">
        <v>221003</v>
      </c>
      <c r="M598" s="1446"/>
      <c r="N598" s="170" t="s">
        <v>165</v>
      </c>
      <c r="O598" s="178" t="s">
        <v>4312</v>
      </c>
      <c r="P598" s="172" t="s">
        <v>4035</v>
      </c>
      <c r="Q598" s="173" t="s">
        <v>4488</v>
      </c>
      <c r="R598" s="173" t="s">
        <v>4412</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77" t="s">
        <v>67</v>
      </c>
      <c r="AM598" s="1680" t="s">
        <v>67</v>
      </c>
      <c r="AN598" s="1704"/>
      <c r="AO598" s="1680" t="s">
        <v>67</v>
      </c>
      <c r="AP598" s="1704"/>
      <c r="AQ598" s="1680" t="s">
        <v>67</v>
      </c>
      <c r="AR598" s="1704"/>
      <c r="AS598" s="1778">
        <v>0</v>
      </c>
      <c r="AT598" s="35">
        <v>28140</v>
      </c>
      <c r="AU598" s="905">
        <v>56972.38</v>
      </c>
      <c r="AV598" s="894"/>
      <c r="AW598" s="351" t="s">
        <v>73</v>
      </c>
      <c r="AX598" s="11"/>
      <c r="AY598" s="224"/>
      <c r="AZ598" s="52"/>
      <c r="BA598" s="70">
        <v>44802</v>
      </c>
      <c r="BB598" s="71">
        <v>44781</v>
      </c>
      <c r="BC598" s="71">
        <v>44799</v>
      </c>
      <c r="BD598" s="127">
        <v>44799</v>
      </c>
      <c r="BE598" s="70">
        <v>44649</v>
      </c>
      <c r="BF598" s="1662" t="str">
        <f>O598</f>
        <v>DOP/AD/003/2022</v>
      </c>
      <c r="BG598" s="5">
        <v>44781</v>
      </c>
      <c r="BH598" s="5">
        <v>44799</v>
      </c>
      <c r="BI598" s="5">
        <v>44799</v>
      </c>
      <c r="BJ598" s="36">
        <f>AT598+AU598</f>
        <v>85112.38</v>
      </c>
      <c r="BK598" s="1891"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3947</v>
      </c>
      <c r="CF598" s="578"/>
    </row>
    <row r="599" spans="1:84" ht="87.75" hidden="1" customHeight="1">
      <c r="A599" s="1467"/>
      <c r="B599" s="22"/>
      <c r="C599" s="1685"/>
      <c r="D599" s="1685"/>
      <c r="E599" s="921">
        <v>44805</v>
      </c>
      <c r="F599" s="921"/>
      <c r="G599" s="925">
        <v>45076</v>
      </c>
      <c r="H599" s="1793"/>
      <c r="I599" s="331">
        <v>45084</v>
      </c>
      <c r="J599" s="331"/>
      <c r="K599" s="169">
        <v>2022</v>
      </c>
      <c r="L599" s="1446">
        <v>221004</v>
      </c>
      <c r="M599" s="1446"/>
      <c r="N599" s="170" t="s">
        <v>165</v>
      </c>
      <c r="O599" s="178" t="s">
        <v>5000</v>
      </c>
      <c r="P599" s="172" t="s">
        <v>4035</v>
      </c>
      <c r="Q599" s="173" t="s">
        <v>5005</v>
      </c>
      <c r="R599" s="173" t="s">
        <v>2580</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77" t="s">
        <v>67</v>
      </c>
      <c r="AM599" s="1680" t="s">
        <v>67</v>
      </c>
      <c r="AN599" s="1704"/>
      <c r="AO599" s="1680" t="s">
        <v>67</v>
      </c>
      <c r="AP599" s="1704"/>
      <c r="AQ599" s="1680" t="s">
        <v>67</v>
      </c>
      <c r="AR599" s="1704"/>
      <c r="AS599" s="1778">
        <v>0</v>
      </c>
      <c r="AT599" s="35">
        <v>30441</v>
      </c>
      <c r="AU599" s="905">
        <v>299750.75</v>
      </c>
      <c r="AV599" s="894"/>
      <c r="AW599" s="351" t="s">
        <v>73</v>
      </c>
      <c r="AX599" s="11"/>
      <c r="AY599" s="224"/>
      <c r="AZ599" s="52"/>
      <c r="BA599" s="70">
        <v>44649</v>
      </c>
      <c r="BB599" s="5">
        <v>44599</v>
      </c>
      <c r="BC599" s="5">
        <v>44617</v>
      </c>
      <c r="BD599" s="11">
        <v>44617</v>
      </c>
      <c r="BE599" s="70">
        <v>44620</v>
      </c>
      <c r="BF599" s="1662" t="str">
        <f>O599</f>
        <v>DOP/AD/001-A/2022</v>
      </c>
      <c r="BG599" s="5">
        <v>44599</v>
      </c>
      <c r="BH599" s="5">
        <v>44617</v>
      </c>
      <c r="BI599" s="5">
        <v>44617</v>
      </c>
      <c r="BJ599" s="36">
        <f>AT599+AU599</f>
        <v>330191.75</v>
      </c>
      <c r="BK599" s="1891"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3947</v>
      </c>
      <c r="CF599" s="38"/>
    </row>
    <row r="600" spans="1:84" ht="87.75" hidden="1" customHeight="1">
      <c r="A600" s="1467"/>
      <c r="B600" s="22"/>
      <c r="C600" s="1685"/>
      <c r="D600" s="1685"/>
      <c r="E600" s="921">
        <v>45170</v>
      </c>
      <c r="F600" s="921"/>
      <c r="G600" s="925">
        <v>45072</v>
      </c>
      <c r="H600" s="1793"/>
      <c r="I600" s="331">
        <v>45084</v>
      </c>
      <c r="J600" s="331"/>
      <c r="K600" s="169">
        <v>2022</v>
      </c>
      <c r="L600" s="1446">
        <v>221005</v>
      </c>
      <c r="M600" s="1446"/>
      <c r="N600" s="170" t="s">
        <v>165</v>
      </c>
      <c r="O600" s="178" t="s">
        <v>4313</v>
      </c>
      <c r="P600" s="172" t="s">
        <v>4035</v>
      </c>
      <c r="Q600" s="173" t="s">
        <v>4585</v>
      </c>
      <c r="R600" s="173" t="s">
        <v>4827</v>
      </c>
      <c r="S600" s="586">
        <v>86073.66</v>
      </c>
      <c r="T600" s="582">
        <v>44875</v>
      </c>
      <c r="U600" s="176">
        <v>44886</v>
      </c>
      <c r="V600" s="177">
        <v>44893</v>
      </c>
      <c r="W600" s="105" t="s">
        <v>1427</v>
      </c>
      <c r="X600" s="178" t="s">
        <v>1176</v>
      </c>
      <c r="Y600" s="170" t="s">
        <v>69</v>
      </c>
      <c r="Z600" s="201" t="s">
        <v>1427</v>
      </c>
      <c r="AA600" s="369" t="s">
        <v>67</v>
      </c>
      <c r="AB600" s="33" t="s">
        <v>5007</v>
      </c>
      <c r="AC600" s="8">
        <v>44596</v>
      </c>
      <c r="AD600" s="79">
        <v>1500000</v>
      </c>
      <c r="AE600" s="79"/>
      <c r="AF600" s="642"/>
      <c r="AG600" s="574" t="s">
        <v>67</v>
      </c>
      <c r="AH600" s="575" t="s">
        <v>67</v>
      </c>
      <c r="AI600" s="575" t="s">
        <v>67</v>
      </c>
      <c r="AJ600" s="576" t="s">
        <v>67</v>
      </c>
      <c r="AK600" s="573" t="s">
        <v>67</v>
      </c>
      <c r="AL600" s="1777" t="s">
        <v>67</v>
      </c>
      <c r="AM600" s="1680" t="s">
        <v>67</v>
      </c>
      <c r="AN600" s="1704"/>
      <c r="AO600" s="1680" t="s">
        <v>67</v>
      </c>
      <c r="AP600" s="1704"/>
      <c r="AQ600" s="1680" t="s">
        <v>67</v>
      </c>
      <c r="AR600" s="1704"/>
      <c r="AS600" s="1778">
        <v>0</v>
      </c>
      <c r="AT600" s="35">
        <v>8265.2999999999993</v>
      </c>
      <c r="AU600" s="905">
        <v>26874.38</v>
      </c>
      <c r="AV600" s="894"/>
      <c r="AW600" s="351" t="s">
        <v>73</v>
      </c>
      <c r="AX600" s="11"/>
      <c r="AY600" s="224"/>
      <c r="AZ600" s="52"/>
      <c r="BA600" s="70">
        <v>44900</v>
      </c>
      <c r="BB600" s="5">
        <v>44886</v>
      </c>
      <c r="BC600" s="5">
        <v>44893</v>
      </c>
      <c r="BD600" s="11">
        <v>44898</v>
      </c>
      <c r="BE600" s="70">
        <v>44900</v>
      </c>
      <c r="BF600" s="1662" t="str">
        <f t="shared" ref="BF600:BF605" si="19">O600</f>
        <v>DOP/AD/005/2022</v>
      </c>
      <c r="BG600" s="5">
        <v>44886</v>
      </c>
      <c r="BH600" s="5">
        <v>44893</v>
      </c>
      <c r="BI600" s="5">
        <v>44898</v>
      </c>
      <c r="BJ600" s="36">
        <f t="shared" ref="BJ600:BJ605" si="20">AT600+AU600</f>
        <v>35139.68</v>
      </c>
      <c r="BK600" s="1891"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3947</v>
      </c>
      <c r="CF600" s="38"/>
    </row>
    <row r="601" spans="1:84" ht="87.75" hidden="1" customHeight="1">
      <c r="A601" s="1467"/>
      <c r="B601" s="22"/>
      <c r="C601" s="1685"/>
      <c r="D601" s="1685"/>
      <c r="E601" s="921">
        <v>45170</v>
      </c>
      <c r="F601" s="921"/>
      <c r="G601" s="925">
        <v>45072</v>
      </c>
      <c r="H601" s="1793"/>
      <c r="I601" s="331">
        <v>45084</v>
      </c>
      <c r="J601" s="331"/>
      <c r="K601" s="169">
        <v>2022</v>
      </c>
      <c r="L601" s="1446">
        <v>221006</v>
      </c>
      <c r="M601" s="1446"/>
      <c r="N601" s="170" t="s">
        <v>165</v>
      </c>
      <c r="O601" s="178" t="s">
        <v>4314</v>
      </c>
      <c r="P601" s="172" t="s">
        <v>4035</v>
      </c>
      <c r="Q601" s="173" t="s">
        <v>4586</v>
      </c>
      <c r="R601" s="173" t="s">
        <v>4827</v>
      </c>
      <c r="S601" s="586">
        <v>109829.72</v>
      </c>
      <c r="T601" s="582">
        <v>44875</v>
      </c>
      <c r="U601" s="176">
        <v>44879</v>
      </c>
      <c r="V601" s="177">
        <v>44886</v>
      </c>
      <c r="W601" s="105" t="s">
        <v>1427</v>
      </c>
      <c r="X601" s="178" t="s">
        <v>1176</v>
      </c>
      <c r="Y601" s="170" t="s">
        <v>69</v>
      </c>
      <c r="Z601" s="201" t="s">
        <v>1427</v>
      </c>
      <c r="AA601" s="369" t="s">
        <v>67</v>
      </c>
      <c r="AB601" s="33" t="s">
        <v>5007</v>
      </c>
      <c r="AC601" s="8">
        <v>44596</v>
      </c>
      <c r="AD601" s="79">
        <v>1500000</v>
      </c>
      <c r="AE601" s="79"/>
      <c r="AF601" s="642"/>
      <c r="AG601" s="574" t="s">
        <v>67</v>
      </c>
      <c r="AH601" s="575" t="s">
        <v>67</v>
      </c>
      <c r="AI601" s="575" t="s">
        <v>67</v>
      </c>
      <c r="AJ601" s="576" t="s">
        <v>67</v>
      </c>
      <c r="AK601" s="573" t="s">
        <v>67</v>
      </c>
      <c r="AL601" s="1777" t="s">
        <v>67</v>
      </c>
      <c r="AM601" s="1680" t="s">
        <v>67</v>
      </c>
      <c r="AN601" s="1704"/>
      <c r="AO601" s="1680" t="s">
        <v>67</v>
      </c>
      <c r="AP601" s="1704"/>
      <c r="AQ601" s="1680" t="s">
        <v>67</v>
      </c>
      <c r="AR601" s="1704"/>
      <c r="AS601" s="1778">
        <v>0</v>
      </c>
      <c r="AT601" s="35">
        <v>24128.15</v>
      </c>
      <c r="AU601" s="905">
        <v>47080.97</v>
      </c>
      <c r="AV601" s="894"/>
      <c r="AW601" s="351" t="s">
        <v>73</v>
      </c>
      <c r="AX601" s="11"/>
      <c r="AY601" s="224"/>
      <c r="AZ601" s="52"/>
      <c r="BA601" s="70">
        <v>44893</v>
      </c>
      <c r="BB601" s="5">
        <v>44879</v>
      </c>
      <c r="BC601" s="5">
        <v>44886</v>
      </c>
      <c r="BD601" s="11">
        <v>45254</v>
      </c>
      <c r="BE601" s="70">
        <v>44900</v>
      </c>
      <c r="BF601" s="1662" t="str">
        <f t="shared" si="19"/>
        <v>DOP/AD/006/2022</v>
      </c>
      <c r="BG601" s="5">
        <v>44879</v>
      </c>
      <c r="BH601" s="5">
        <v>44886</v>
      </c>
      <c r="BI601" s="5">
        <v>44889</v>
      </c>
      <c r="BJ601" s="36">
        <f t="shared" si="20"/>
        <v>71209.119999999995</v>
      </c>
      <c r="BK601" s="1891"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3947</v>
      </c>
      <c r="CF601" s="38"/>
    </row>
    <row r="602" spans="1:84" ht="87.75" hidden="1" customHeight="1">
      <c r="A602" s="1467"/>
      <c r="B602" s="22"/>
      <c r="C602" s="1686">
        <v>45068</v>
      </c>
      <c r="D602" s="1690">
        <v>9</v>
      </c>
      <c r="E602" s="921"/>
      <c r="F602" s="921"/>
      <c r="G602" s="925"/>
      <c r="H602" s="1793"/>
      <c r="I602" s="331"/>
      <c r="J602" s="331"/>
      <c r="K602" s="169">
        <v>2022</v>
      </c>
      <c r="L602" s="1446">
        <v>221006.1</v>
      </c>
      <c r="M602" s="1446"/>
      <c r="N602" s="170" t="s">
        <v>165</v>
      </c>
      <c r="O602" s="178" t="s">
        <v>4739</v>
      </c>
      <c r="P602" s="172" t="s">
        <v>4739</v>
      </c>
      <c r="Q602" s="173" t="s">
        <v>5001</v>
      </c>
      <c r="R602" s="173" t="s">
        <v>1975</v>
      </c>
      <c r="S602" s="1699"/>
      <c r="T602" s="582" t="s">
        <v>1176</v>
      </c>
      <c r="U602" s="176">
        <v>44562</v>
      </c>
      <c r="V602" s="177">
        <v>44926</v>
      </c>
      <c r="W602" s="105" t="s">
        <v>1427</v>
      </c>
      <c r="X602" s="178" t="s">
        <v>1176</v>
      </c>
      <c r="Y602" s="170" t="s">
        <v>448</v>
      </c>
      <c r="Z602" s="201" t="s">
        <v>1427</v>
      </c>
      <c r="AA602" s="369" t="s">
        <v>5006</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700"/>
      <c r="AX602" s="1701"/>
      <c r="AY602" s="1702"/>
      <c r="AZ602" s="1703"/>
      <c r="BA602" s="1700"/>
      <c r="BB602" s="1704"/>
      <c r="BC602" s="1704"/>
      <c r="BD602" s="1701"/>
      <c r="BE602" s="1700"/>
      <c r="BF602" s="1705" t="str">
        <f t="shared" si="19"/>
        <v>MANTENIMIENTOS</v>
      </c>
      <c r="BG602" s="1704"/>
      <c r="BH602" s="1704"/>
      <c r="BI602" s="1704"/>
      <c r="BJ602" s="1706">
        <f t="shared" si="20"/>
        <v>0</v>
      </c>
      <c r="BK602" s="1707" t="s">
        <v>67</v>
      </c>
      <c r="BL602" s="1708"/>
      <c r="BM602" s="1708"/>
      <c r="BN602" s="1709" t="s">
        <v>67</v>
      </c>
      <c r="BO602" s="1709" t="s">
        <v>67</v>
      </c>
      <c r="BP602" s="1710"/>
      <c r="BQ602" s="1710" t="s">
        <v>67</v>
      </c>
      <c r="BR602" s="1710" t="s">
        <v>67</v>
      </c>
      <c r="BS602" s="1711" t="s">
        <v>67</v>
      </c>
      <c r="BT602" s="1710" t="s">
        <v>67</v>
      </c>
      <c r="BU602" s="1710" t="s">
        <v>67</v>
      </c>
      <c r="BV602" s="1712">
        <v>0</v>
      </c>
      <c r="BW602" s="1713">
        <v>0</v>
      </c>
      <c r="BX602" s="13"/>
      <c r="BY602" s="158"/>
      <c r="BZ602" s="158"/>
      <c r="CA602" s="13"/>
      <c r="CB602" s="13"/>
      <c r="CC602" s="13"/>
      <c r="CD602" s="13"/>
      <c r="CE602" s="1246" t="s">
        <v>3947</v>
      </c>
      <c r="CF602" s="38"/>
    </row>
    <row r="603" spans="1:84" ht="87.75" hidden="1" customHeight="1">
      <c r="A603" s="1467"/>
      <c r="B603" s="22"/>
      <c r="C603" s="1685"/>
      <c r="D603" s="1685"/>
      <c r="E603" s="921">
        <v>45170</v>
      </c>
      <c r="F603" s="921"/>
      <c r="G603" s="925">
        <v>45073</v>
      </c>
      <c r="H603" s="1793"/>
      <c r="I603" s="331">
        <v>45084</v>
      </c>
      <c r="J603" s="331"/>
      <c r="K603" s="169">
        <v>2022</v>
      </c>
      <c r="L603" s="1446">
        <v>221007</v>
      </c>
      <c r="M603" s="1446"/>
      <c r="N603" s="170" t="s">
        <v>165</v>
      </c>
      <c r="O603" s="178" t="s">
        <v>5002</v>
      </c>
      <c r="P603" s="172" t="s">
        <v>4035</v>
      </c>
      <c r="Q603" s="173" t="s">
        <v>5003</v>
      </c>
      <c r="R603" s="173" t="s">
        <v>2666</v>
      </c>
      <c r="S603" s="586">
        <v>297707.86</v>
      </c>
      <c r="T603" s="582">
        <v>44875</v>
      </c>
      <c r="U603" s="176">
        <v>44880</v>
      </c>
      <c r="V603" s="177">
        <v>44926</v>
      </c>
      <c r="W603" s="105" t="s">
        <v>1427</v>
      </c>
      <c r="X603" s="178" t="s">
        <v>1176</v>
      </c>
      <c r="Y603" s="170" t="s">
        <v>212</v>
      </c>
      <c r="Z603" s="201" t="s">
        <v>1427</v>
      </c>
      <c r="AA603" s="369" t="s">
        <v>67</v>
      </c>
      <c r="AB603" s="33" t="s">
        <v>5004</v>
      </c>
      <c r="AC603" s="8">
        <v>44704</v>
      </c>
      <c r="AD603" s="79">
        <v>240885.59</v>
      </c>
      <c r="AE603" s="79"/>
      <c r="AF603" s="642"/>
      <c r="AG603" s="574" t="s">
        <v>67</v>
      </c>
      <c r="AH603" s="575" t="s">
        <v>67</v>
      </c>
      <c r="AI603" s="575" t="s">
        <v>67</v>
      </c>
      <c r="AJ603" s="576" t="s">
        <v>67</v>
      </c>
      <c r="AK603" s="573" t="s">
        <v>67</v>
      </c>
      <c r="AL603" s="1777" t="s">
        <v>67</v>
      </c>
      <c r="AM603" s="1680" t="s">
        <v>67</v>
      </c>
      <c r="AN603" s="1704"/>
      <c r="AO603" s="1680" t="s">
        <v>67</v>
      </c>
      <c r="AP603" s="1704"/>
      <c r="AQ603" s="1680" t="s">
        <v>67</v>
      </c>
      <c r="AR603" s="1704"/>
      <c r="AS603" s="1778">
        <v>0</v>
      </c>
      <c r="AT603" s="35">
        <v>21787.55</v>
      </c>
      <c r="AU603" s="905">
        <v>33503.32</v>
      </c>
      <c r="AV603" s="894"/>
      <c r="AW603" s="351" t="s">
        <v>73</v>
      </c>
      <c r="AX603" s="11"/>
      <c r="AY603" s="224"/>
      <c r="AZ603" s="52"/>
      <c r="BA603" s="351" t="s">
        <v>73</v>
      </c>
      <c r="BB603" s="5"/>
      <c r="BC603" s="5"/>
      <c r="BD603" s="11"/>
      <c r="BE603" s="70">
        <v>44602</v>
      </c>
      <c r="BF603" s="1662" t="str">
        <f t="shared" si="19"/>
        <v>DOP/AD/007/2022</v>
      </c>
      <c r="BG603" s="5"/>
      <c r="BH603" s="5"/>
      <c r="BI603" s="5"/>
      <c r="BJ603" s="36">
        <f t="shared" si="20"/>
        <v>55290.869999999995</v>
      </c>
      <c r="BK603" s="1891"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3947</v>
      </c>
      <c r="CF603" s="38" t="s">
        <v>5008</v>
      </c>
    </row>
    <row r="604" spans="1:84" ht="87.75" hidden="1" customHeight="1">
      <c r="A604" s="1467"/>
      <c r="B604" s="22"/>
      <c r="C604" s="1685"/>
      <c r="D604" s="1685"/>
      <c r="E604" s="921">
        <v>44805</v>
      </c>
      <c r="F604" s="921"/>
      <c r="G604" s="925"/>
      <c r="H604" s="1793"/>
      <c r="I604" s="331"/>
      <c r="J604" s="331"/>
      <c r="K604" s="169">
        <v>2022</v>
      </c>
      <c r="L604" s="1446">
        <v>221008</v>
      </c>
      <c r="M604" s="1446"/>
      <c r="N604" s="170" t="s">
        <v>165</v>
      </c>
      <c r="O604" s="178" t="s">
        <v>5491</v>
      </c>
      <c r="P604" s="172" t="s">
        <v>4035</v>
      </c>
      <c r="Q604" s="173" t="s">
        <v>5492</v>
      </c>
      <c r="R604" s="173" t="s">
        <v>1975</v>
      </c>
      <c r="S604" s="586">
        <v>800000</v>
      </c>
      <c r="T604" s="582">
        <v>44620</v>
      </c>
      <c r="U604" s="176">
        <v>44624</v>
      </c>
      <c r="V604" s="177">
        <v>44773</v>
      </c>
      <c r="W604" s="105" t="s">
        <v>1427</v>
      </c>
      <c r="X604" s="178" t="s">
        <v>1176</v>
      </c>
      <c r="Y604" s="170" t="s">
        <v>448</v>
      </c>
      <c r="Z604" s="201" t="s">
        <v>1427</v>
      </c>
      <c r="AA604" s="1403"/>
      <c r="AB604" s="33" t="s">
        <v>5894</v>
      </c>
      <c r="AC604" s="8">
        <v>44890</v>
      </c>
      <c r="AD604" s="79">
        <v>650000</v>
      </c>
      <c r="AE604" s="79"/>
      <c r="AF604" s="642"/>
      <c r="AG604" s="574" t="s">
        <v>67</v>
      </c>
      <c r="AH604" s="575" t="s">
        <v>67</v>
      </c>
      <c r="AI604" s="575" t="s">
        <v>67</v>
      </c>
      <c r="AJ604" s="576" t="s">
        <v>67</v>
      </c>
      <c r="AK604" s="573" t="s">
        <v>67</v>
      </c>
      <c r="AL604" s="1777" t="s">
        <v>67</v>
      </c>
      <c r="AM604" s="1680" t="s">
        <v>67</v>
      </c>
      <c r="AN604" s="1704"/>
      <c r="AO604" s="1680" t="s">
        <v>67</v>
      </c>
      <c r="AP604" s="1704"/>
      <c r="AQ604" s="1680" t="s">
        <v>67</v>
      </c>
      <c r="AR604" s="1704"/>
      <c r="AS604" s="1778">
        <v>0</v>
      </c>
      <c r="AT604" s="35">
        <v>267695.8</v>
      </c>
      <c r="AU604" s="905">
        <v>352038.78</v>
      </c>
      <c r="AV604" s="894"/>
      <c r="AW604" s="351" t="s">
        <v>73</v>
      </c>
      <c r="AX604" s="11"/>
      <c r="AY604" s="224"/>
      <c r="AZ604" s="52"/>
      <c r="BA604" s="351" t="s">
        <v>73</v>
      </c>
      <c r="BB604" s="5"/>
      <c r="BC604" s="5"/>
      <c r="BD604" s="11"/>
      <c r="BE604" s="351" t="s">
        <v>73</v>
      </c>
      <c r="BF604" s="1662" t="str">
        <f t="shared" si="19"/>
        <v>DOP/AD/001-B/2022</v>
      </c>
      <c r="BG604" s="5"/>
      <c r="BH604" s="5"/>
      <c r="BI604" s="5"/>
      <c r="BJ604" s="36">
        <f t="shared" si="20"/>
        <v>619734.58000000007</v>
      </c>
      <c r="BK604" s="1891"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3947</v>
      </c>
      <c r="CF604" s="38"/>
    </row>
    <row r="605" spans="1:84" ht="87.75" hidden="1" customHeight="1">
      <c r="A605" s="1467"/>
      <c r="B605" s="22"/>
      <c r="C605" s="1685"/>
      <c r="D605" s="1685"/>
      <c r="E605" s="921"/>
      <c r="F605" s="921"/>
      <c r="G605" s="925"/>
      <c r="H605" s="1793"/>
      <c r="I605" s="331"/>
      <c r="J605" s="331"/>
      <c r="K605" s="169">
        <v>2022</v>
      </c>
      <c r="L605" s="1446">
        <v>221010</v>
      </c>
      <c r="M605" s="1446"/>
      <c r="N605" s="170"/>
      <c r="O605" s="178" t="s">
        <v>4315</v>
      </c>
      <c r="P605" s="789" t="s">
        <v>250</v>
      </c>
      <c r="Q605" s="1215" t="s">
        <v>67</v>
      </c>
      <c r="R605" s="1215"/>
      <c r="S605" s="174" t="s">
        <v>5889</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62" t="str">
        <f t="shared" si="19"/>
        <v>DOP/AD/010/2022</v>
      </c>
      <c r="BG605" s="5"/>
      <c r="BH605" s="5"/>
      <c r="BI605" s="5"/>
      <c r="BJ605" s="64">
        <f t="shared" si="20"/>
        <v>0</v>
      </c>
      <c r="BK605" s="1576" t="s">
        <v>67</v>
      </c>
      <c r="BL605" s="1915"/>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3947</v>
      </c>
      <c r="CF605" s="38"/>
    </row>
    <row r="606" spans="1:84" ht="90.75" hidden="1" customHeight="1">
      <c r="A606" s="1467"/>
      <c r="B606" s="22"/>
      <c r="C606" s="1685"/>
      <c r="D606" s="1685"/>
      <c r="E606" s="921"/>
      <c r="F606" s="921"/>
      <c r="G606" s="925"/>
      <c r="H606" s="1793"/>
      <c r="I606" s="331"/>
      <c r="J606" s="331"/>
      <c r="K606" s="169">
        <v>2022</v>
      </c>
      <c r="L606" s="1446">
        <v>222001</v>
      </c>
      <c r="M606" s="1446"/>
      <c r="N606" s="170" t="s">
        <v>165</v>
      </c>
      <c r="O606" s="178" t="s">
        <v>4316</v>
      </c>
      <c r="P606" s="172" t="s">
        <v>4309</v>
      </c>
      <c r="Q606" s="173" t="s">
        <v>4362</v>
      </c>
      <c r="R606" s="173" t="s">
        <v>4385</v>
      </c>
      <c r="S606" s="586">
        <f>17400*4</f>
        <v>69600</v>
      </c>
      <c r="T606" s="582">
        <v>44572</v>
      </c>
      <c r="U606" s="176">
        <v>44578</v>
      </c>
      <c r="V606" s="177">
        <v>44581</v>
      </c>
      <c r="W606" s="105" t="s">
        <v>67</v>
      </c>
      <c r="X606" s="178" t="s">
        <v>4363</v>
      </c>
      <c r="Y606" s="170" t="s">
        <v>3050</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915"/>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3947</v>
      </c>
      <c r="CF606" s="38"/>
    </row>
    <row r="607" spans="1:84" s="104" customFormat="1" ht="87.75" hidden="1" customHeight="1">
      <c r="B607" s="81"/>
      <c r="C607" s="1687"/>
      <c r="D607" s="1687"/>
      <c r="E607" s="1009"/>
      <c r="F607" s="1009"/>
      <c r="G607" s="123"/>
      <c r="H607" s="1885"/>
      <c r="I607" s="612"/>
      <c r="J607" s="612"/>
      <c r="K607" s="1010">
        <v>2022</v>
      </c>
      <c r="L607" s="1448">
        <v>222002</v>
      </c>
      <c r="M607" s="1448"/>
      <c r="N607" s="613" t="s">
        <v>165</v>
      </c>
      <c r="O607" s="618" t="s">
        <v>4317</v>
      </c>
      <c r="P607" s="646" t="s">
        <v>4116</v>
      </c>
      <c r="Q607" s="647" t="s">
        <v>4364</v>
      </c>
      <c r="R607" s="647" t="s">
        <v>4385</v>
      </c>
      <c r="S607" s="614">
        <v>12000</v>
      </c>
      <c r="T607" s="615">
        <v>44575</v>
      </c>
      <c r="U607" s="616">
        <v>44578</v>
      </c>
      <c r="V607" s="617">
        <v>44582</v>
      </c>
      <c r="W607" s="371" t="s">
        <v>67</v>
      </c>
      <c r="X607" s="618" t="s">
        <v>5682</v>
      </c>
      <c r="Y607" s="613" t="s">
        <v>3050</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74"/>
      <c r="BG607" s="88"/>
      <c r="BH607" s="88"/>
      <c r="BI607" s="88"/>
      <c r="BJ607" s="99"/>
      <c r="BK607" s="1583"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3947</v>
      </c>
      <c r="CF607" s="864"/>
    </row>
    <row r="608" spans="1:84" ht="182.25" hidden="1" customHeight="1">
      <c r="A608" s="1467"/>
      <c r="B608" s="22"/>
      <c r="C608" s="1685"/>
      <c r="D608" s="1685"/>
      <c r="E608" s="921"/>
      <c r="F608" s="921"/>
      <c r="G608" s="925"/>
      <c r="H608" s="1793"/>
      <c r="I608" s="331"/>
      <c r="J608" s="331"/>
      <c r="K608" s="169">
        <v>2022</v>
      </c>
      <c r="L608" s="1446">
        <v>222003</v>
      </c>
      <c r="M608" s="1446"/>
      <c r="N608" s="170" t="s">
        <v>165</v>
      </c>
      <c r="O608" s="178" t="s">
        <v>4318</v>
      </c>
      <c r="P608" s="172" t="s">
        <v>4309</v>
      </c>
      <c r="Q608" s="173" t="s">
        <v>4370</v>
      </c>
      <c r="R608" s="452" t="s">
        <v>1975</v>
      </c>
      <c r="S608" s="586" t="s">
        <v>4438</v>
      </c>
      <c r="T608" s="582">
        <v>44592</v>
      </c>
      <c r="U608" s="176">
        <v>44593</v>
      </c>
      <c r="V608" s="177">
        <v>44607</v>
      </c>
      <c r="W608" s="105" t="s">
        <v>67</v>
      </c>
      <c r="X608" s="178" t="s">
        <v>4371</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915"/>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3947</v>
      </c>
      <c r="CF608" s="38"/>
    </row>
    <row r="609" spans="1:84" ht="97.5" hidden="1" customHeight="1">
      <c r="A609" s="1467"/>
      <c r="B609" s="22"/>
      <c r="C609" s="1685"/>
      <c r="D609" s="1685"/>
      <c r="E609" s="921"/>
      <c r="F609" s="921"/>
      <c r="G609" s="925"/>
      <c r="H609" s="1793"/>
      <c r="I609" s="331"/>
      <c r="J609" s="331"/>
      <c r="K609" s="169">
        <v>2022</v>
      </c>
      <c r="L609" s="1446">
        <v>222004</v>
      </c>
      <c r="M609" s="1446"/>
      <c r="N609" s="170" t="s">
        <v>165</v>
      </c>
      <c r="O609" s="178" t="s">
        <v>4319</v>
      </c>
      <c r="P609" s="172" t="s">
        <v>4309</v>
      </c>
      <c r="Q609" s="173" t="s">
        <v>4372</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915"/>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3947</v>
      </c>
      <c r="CF609" s="38"/>
    </row>
    <row r="610" spans="1:84" ht="87.75" hidden="1" customHeight="1">
      <c r="A610" s="1467"/>
      <c r="B610" s="22"/>
      <c r="C610" s="1685"/>
      <c r="D610" s="1685"/>
      <c r="E610" s="921"/>
      <c r="F610" s="921"/>
      <c r="G610" s="925"/>
      <c r="H610" s="1793"/>
      <c r="I610" s="331"/>
      <c r="J610" s="331"/>
      <c r="K610" s="169">
        <v>2022</v>
      </c>
      <c r="L610" s="1446">
        <v>222005</v>
      </c>
      <c r="M610" s="1446"/>
      <c r="N610" s="170" t="s">
        <v>165</v>
      </c>
      <c r="O610" s="178" t="s">
        <v>4320</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915"/>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3947</v>
      </c>
      <c r="CF610" s="38"/>
    </row>
    <row r="611" spans="1:84" ht="87.75" hidden="1" customHeight="1">
      <c r="A611" s="1467"/>
      <c r="B611" s="22"/>
      <c r="C611" s="1685"/>
      <c r="D611" s="1685"/>
      <c r="E611" s="921"/>
      <c r="F611" s="921"/>
      <c r="G611" s="925"/>
      <c r="H611" s="1793"/>
      <c r="I611" s="331"/>
      <c r="J611" s="331"/>
      <c r="K611" s="169">
        <v>2022</v>
      </c>
      <c r="L611" s="1446">
        <v>222006</v>
      </c>
      <c r="M611" s="1446"/>
      <c r="N611" s="170" t="s">
        <v>165</v>
      </c>
      <c r="O611" s="178" t="s">
        <v>4321</v>
      </c>
      <c r="P611" s="172" t="s">
        <v>4309</v>
      </c>
      <c r="Q611" s="173" t="s">
        <v>4373</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915"/>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3947</v>
      </c>
      <c r="CF611" s="38"/>
    </row>
    <row r="612" spans="1:84" ht="87.75" hidden="1" customHeight="1">
      <c r="A612" s="1467"/>
      <c r="B612" s="22"/>
      <c r="C612" s="1685"/>
      <c r="D612" s="1685"/>
      <c r="E612" s="921"/>
      <c r="F612" s="921"/>
      <c r="G612" s="925"/>
      <c r="H612" s="1793"/>
      <c r="I612" s="331"/>
      <c r="J612" s="331"/>
      <c r="K612" s="169">
        <v>2022</v>
      </c>
      <c r="L612" s="1446">
        <v>222007</v>
      </c>
      <c r="M612" s="1446"/>
      <c r="N612" s="170" t="s">
        <v>165</v>
      </c>
      <c r="O612" s="178" t="s">
        <v>4322</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915"/>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3947</v>
      </c>
      <c r="CF612" s="38"/>
    </row>
    <row r="613" spans="1:84" ht="87.75" hidden="1" customHeight="1">
      <c r="A613" s="1467"/>
      <c r="B613" s="22"/>
      <c r="C613" s="1685"/>
      <c r="D613" s="1685"/>
      <c r="E613" s="921"/>
      <c r="F613" s="921"/>
      <c r="G613" s="925"/>
      <c r="H613" s="1793"/>
      <c r="I613" s="331"/>
      <c r="J613" s="331"/>
      <c r="K613" s="169">
        <v>2022</v>
      </c>
      <c r="L613" s="1446">
        <v>222008</v>
      </c>
      <c r="M613" s="1446"/>
      <c r="N613" s="170" t="s">
        <v>165</v>
      </c>
      <c r="O613" s="178" t="s">
        <v>4323</v>
      </c>
      <c r="P613" s="172" t="s">
        <v>4309</v>
      </c>
      <c r="Q613" s="173" t="s">
        <v>4374</v>
      </c>
      <c r="R613" s="452" t="s">
        <v>4412</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915"/>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3947</v>
      </c>
      <c r="CF613" s="38"/>
    </row>
    <row r="614" spans="1:84" ht="87.75" hidden="1" customHeight="1">
      <c r="A614" s="1467"/>
      <c r="B614" s="22"/>
      <c r="C614" s="1685"/>
      <c r="D614" s="1685"/>
      <c r="E614" s="921"/>
      <c r="F614" s="921"/>
      <c r="G614" s="925"/>
      <c r="H614" s="1793"/>
      <c r="I614" s="331"/>
      <c r="J614" s="331"/>
      <c r="K614" s="169">
        <v>2022</v>
      </c>
      <c r="L614" s="1446">
        <v>222009</v>
      </c>
      <c r="M614" s="1446"/>
      <c r="N614" s="170" t="s">
        <v>165</v>
      </c>
      <c r="O614" s="178" t="s">
        <v>4324</v>
      </c>
      <c r="P614" s="172" t="s">
        <v>4309</v>
      </c>
      <c r="Q614" s="173" t="s">
        <v>4375</v>
      </c>
      <c r="R614" s="452" t="s">
        <v>3626</v>
      </c>
      <c r="S614" s="586">
        <f>13500*1.16</f>
        <v>15659.999999999998</v>
      </c>
      <c r="T614" s="582">
        <v>44635</v>
      </c>
      <c r="U614" s="176" t="s">
        <v>67</v>
      </c>
      <c r="V614" s="177" t="s">
        <v>67</v>
      </c>
      <c r="W614" s="105" t="s">
        <v>67</v>
      </c>
      <c r="X614" s="178" t="s">
        <v>3961</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915"/>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3947</v>
      </c>
      <c r="CF614" s="38"/>
    </row>
    <row r="615" spans="1:84" ht="87.75" hidden="1" customHeight="1">
      <c r="A615" s="1467"/>
      <c r="B615" s="22"/>
      <c r="C615" s="1685"/>
      <c r="D615" s="1685"/>
      <c r="E615" s="921"/>
      <c r="F615" s="921"/>
      <c r="G615" s="925"/>
      <c r="H615" s="1793"/>
      <c r="I615" s="331"/>
      <c r="J615" s="331"/>
      <c r="K615" s="169">
        <v>2022</v>
      </c>
      <c r="L615" s="1446">
        <v>222010</v>
      </c>
      <c r="M615" s="1446"/>
      <c r="N615" s="170" t="s">
        <v>165</v>
      </c>
      <c r="O615" s="178" t="s">
        <v>4325</v>
      </c>
      <c r="P615" s="172" t="s">
        <v>4309</v>
      </c>
      <c r="Q615" s="173" t="s">
        <v>4376</v>
      </c>
      <c r="R615" s="452" t="s">
        <v>2541</v>
      </c>
      <c r="S615" s="586">
        <v>4000</v>
      </c>
      <c r="T615" s="582">
        <v>44658</v>
      </c>
      <c r="U615" s="176">
        <v>44660</v>
      </c>
      <c r="V615" s="177">
        <v>44660</v>
      </c>
      <c r="W615" s="105" t="s">
        <v>67</v>
      </c>
      <c r="X615" s="178" t="s">
        <v>5682</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915"/>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3947</v>
      </c>
      <c r="CF615" s="38"/>
    </row>
    <row r="616" spans="1:84" ht="87.75" hidden="1" customHeight="1">
      <c r="A616" s="1467"/>
      <c r="B616" s="22"/>
      <c r="C616" s="1685"/>
      <c r="D616" s="1685"/>
      <c r="E616" s="921"/>
      <c r="F616" s="921"/>
      <c r="G616" s="925"/>
      <c r="H616" s="1793"/>
      <c r="I616" s="331"/>
      <c r="J616" s="331"/>
      <c r="K616" s="169">
        <v>2022</v>
      </c>
      <c r="L616" s="1446">
        <v>222011</v>
      </c>
      <c r="M616" s="1446"/>
      <c r="N616" s="170" t="s">
        <v>165</v>
      </c>
      <c r="O616" s="178" t="s">
        <v>4326</v>
      </c>
      <c r="P616" s="172" t="s">
        <v>4309</v>
      </c>
      <c r="Q616" s="173" t="s">
        <v>4377</v>
      </c>
      <c r="R616" s="452" t="s">
        <v>2541</v>
      </c>
      <c r="S616" s="586">
        <f>15000*1.16</f>
        <v>17400</v>
      </c>
      <c r="T616" s="582">
        <v>44690</v>
      </c>
      <c r="U616" s="176">
        <v>44693</v>
      </c>
      <c r="V616" s="177">
        <v>44695</v>
      </c>
      <c r="W616" s="105" t="s">
        <v>67</v>
      </c>
      <c r="X616" s="178" t="s">
        <v>3759</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915"/>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3947</v>
      </c>
      <c r="CF616" s="38"/>
    </row>
    <row r="617" spans="1:84" ht="117.75" hidden="1" customHeight="1">
      <c r="A617" s="1467"/>
      <c r="B617" s="22"/>
      <c r="C617" s="1685"/>
      <c r="D617" s="1685"/>
      <c r="E617" s="921"/>
      <c r="F617" s="921"/>
      <c r="G617" s="925"/>
      <c r="H617" s="1793"/>
      <c r="I617" s="331"/>
      <c r="J617" s="331"/>
      <c r="K617" s="169">
        <v>2022</v>
      </c>
      <c r="L617" s="1446">
        <v>222012</v>
      </c>
      <c r="M617" s="1446"/>
      <c r="N617" s="170" t="s">
        <v>165</v>
      </c>
      <c r="O617" s="178" t="s">
        <v>4327</v>
      </c>
      <c r="P617" s="172" t="s">
        <v>4309</v>
      </c>
      <c r="Q617" s="173" t="s">
        <v>4378</v>
      </c>
      <c r="R617" s="452" t="s">
        <v>1975</v>
      </c>
      <c r="S617" s="586">
        <f>(9450*1.16)*3</f>
        <v>32886</v>
      </c>
      <c r="T617" s="582">
        <v>44662</v>
      </c>
      <c r="U617" s="176" t="s">
        <v>67</v>
      </c>
      <c r="V617" s="177" t="s">
        <v>67</v>
      </c>
      <c r="W617" s="105" t="s">
        <v>67</v>
      </c>
      <c r="X617" s="178" t="s">
        <v>3961</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915"/>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3947</v>
      </c>
      <c r="CF617" s="38"/>
    </row>
    <row r="618" spans="1:84" ht="162" hidden="1" customHeight="1">
      <c r="A618" s="1467"/>
      <c r="B618" s="22"/>
      <c r="C618" s="1685"/>
      <c r="D618" s="1685"/>
      <c r="E618" s="921"/>
      <c r="F618" s="921"/>
      <c r="G618" s="925"/>
      <c r="H618" s="1793"/>
      <c r="I618" s="331"/>
      <c r="J618" s="331"/>
      <c r="K618" s="169">
        <v>2022</v>
      </c>
      <c r="L618" s="1446">
        <v>222013</v>
      </c>
      <c r="M618" s="1446"/>
      <c r="N618" s="170" t="s">
        <v>165</v>
      </c>
      <c r="O618" s="178" t="s">
        <v>4328</v>
      </c>
      <c r="P618" s="172" t="s">
        <v>4309</v>
      </c>
      <c r="Q618" s="173" t="s">
        <v>4379</v>
      </c>
      <c r="R618" s="452" t="s">
        <v>4413</v>
      </c>
      <c r="S618" s="586">
        <f>15750*1.16</f>
        <v>18270</v>
      </c>
      <c r="T618" s="582">
        <v>44690</v>
      </c>
      <c r="U618" s="176" t="s">
        <v>67</v>
      </c>
      <c r="V618" s="177" t="s">
        <v>67</v>
      </c>
      <c r="W618" s="105" t="s">
        <v>67</v>
      </c>
      <c r="X618" s="178" t="s">
        <v>3961</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915"/>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3947</v>
      </c>
      <c r="CF618" s="38"/>
    </row>
    <row r="619" spans="1:84" ht="134.25" hidden="1" customHeight="1">
      <c r="A619" s="1467"/>
      <c r="B619" s="22"/>
      <c r="C619" s="1685"/>
      <c r="D619" s="1685"/>
      <c r="E619" s="921"/>
      <c r="F619" s="921"/>
      <c r="G619" s="925"/>
      <c r="H619" s="1793"/>
      <c r="I619" s="331"/>
      <c r="J619" s="331"/>
      <c r="K619" s="169">
        <v>2022</v>
      </c>
      <c r="L619" s="1446">
        <v>222014</v>
      </c>
      <c r="M619" s="1446"/>
      <c r="N619" s="170" t="s">
        <v>165</v>
      </c>
      <c r="O619" s="178" t="s">
        <v>4329</v>
      </c>
      <c r="P619" s="172" t="s">
        <v>4309</v>
      </c>
      <c r="Q619" s="173" t="s">
        <v>4414</v>
      </c>
      <c r="R619" s="452" t="s">
        <v>2541</v>
      </c>
      <c r="S619" s="586">
        <v>3500</v>
      </c>
      <c r="T619" s="582">
        <v>44714</v>
      </c>
      <c r="U619" s="176">
        <v>44716</v>
      </c>
      <c r="V619" s="177">
        <v>44716</v>
      </c>
      <c r="W619" s="105" t="s">
        <v>67</v>
      </c>
      <c r="X619" s="178" t="s">
        <v>5682</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915"/>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3947</v>
      </c>
      <c r="CF619" s="38"/>
    </row>
    <row r="620" spans="1:84" ht="87.75" hidden="1" customHeight="1">
      <c r="A620" s="1467"/>
      <c r="B620" s="22"/>
      <c r="C620" s="1685"/>
      <c r="D620" s="1685"/>
      <c r="E620" s="921"/>
      <c r="F620" s="921"/>
      <c r="G620" s="925"/>
      <c r="H620" s="1793"/>
      <c r="I620" s="331"/>
      <c r="J620" s="331"/>
      <c r="K620" s="169">
        <v>2022</v>
      </c>
      <c r="L620" s="1446">
        <v>222015</v>
      </c>
      <c r="M620" s="1446"/>
      <c r="N620" s="170" t="s">
        <v>165</v>
      </c>
      <c r="O620" s="178" t="s">
        <v>4330</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915"/>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3947</v>
      </c>
      <c r="CF620" s="38"/>
    </row>
    <row r="621" spans="1:84" ht="87.75" hidden="1" customHeight="1">
      <c r="A621" s="1467"/>
      <c r="B621" s="22"/>
      <c r="C621" s="1685"/>
      <c r="D621" s="1685"/>
      <c r="E621" s="921"/>
      <c r="F621" s="921"/>
      <c r="G621" s="925"/>
      <c r="H621" s="1793"/>
      <c r="I621" s="331"/>
      <c r="J621" s="331"/>
      <c r="K621" s="169">
        <v>2022</v>
      </c>
      <c r="L621" s="1446">
        <v>222016</v>
      </c>
      <c r="M621" s="1446"/>
      <c r="N621" s="170" t="s">
        <v>165</v>
      </c>
      <c r="O621" s="178" t="s">
        <v>4331</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915"/>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3947</v>
      </c>
      <c r="CF621" s="38"/>
    </row>
    <row r="622" spans="1:84" ht="87.75" hidden="1" customHeight="1">
      <c r="A622" s="1467"/>
      <c r="B622" s="22"/>
      <c r="C622" s="1685"/>
      <c r="D622" s="1685"/>
      <c r="E622" s="921"/>
      <c r="F622" s="921"/>
      <c r="G622" s="925"/>
      <c r="H622" s="1793"/>
      <c r="I622" s="331"/>
      <c r="J622" s="331"/>
      <c r="K622" s="169">
        <v>2022</v>
      </c>
      <c r="L622" s="1446">
        <v>222017</v>
      </c>
      <c r="M622" s="1446"/>
      <c r="N622" s="170" t="s">
        <v>165</v>
      </c>
      <c r="O622" s="178" t="s">
        <v>4332</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915"/>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3947</v>
      </c>
      <c r="CF622" s="38"/>
    </row>
    <row r="623" spans="1:84" ht="87.75" hidden="1" customHeight="1">
      <c r="A623" s="1467"/>
      <c r="B623" s="22"/>
      <c r="C623" s="1685"/>
      <c r="D623" s="1685"/>
      <c r="E623" s="921"/>
      <c r="F623" s="921"/>
      <c r="G623" s="925"/>
      <c r="H623" s="1793"/>
      <c r="I623" s="331"/>
      <c r="J623" s="331"/>
      <c r="K623" s="169">
        <v>2022</v>
      </c>
      <c r="L623" s="1446">
        <v>222018</v>
      </c>
      <c r="M623" s="1446"/>
      <c r="N623" s="170" t="s">
        <v>165</v>
      </c>
      <c r="O623" s="178" t="s">
        <v>4333</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915"/>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3947</v>
      </c>
      <c r="CF623" s="38"/>
    </row>
    <row r="624" spans="1:84" ht="87.75" hidden="1" customHeight="1">
      <c r="A624" s="1467"/>
      <c r="B624" s="22"/>
      <c r="C624" s="1685"/>
      <c r="D624" s="1685"/>
      <c r="E624" s="921"/>
      <c r="F624" s="921"/>
      <c r="G624" s="925"/>
      <c r="H624" s="1793"/>
      <c r="I624" s="331"/>
      <c r="J624" s="331"/>
      <c r="K624" s="169">
        <v>2022</v>
      </c>
      <c r="L624" s="1446">
        <v>222019</v>
      </c>
      <c r="M624" s="1446"/>
      <c r="N624" s="170" t="s">
        <v>165</v>
      </c>
      <c r="O624" s="178" t="s">
        <v>4334</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915"/>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3947</v>
      </c>
      <c r="CF624" s="38"/>
    </row>
    <row r="625" spans="1:84" ht="87.75" hidden="1" customHeight="1">
      <c r="A625" s="1467"/>
      <c r="B625" s="22"/>
      <c r="C625" s="1685"/>
      <c r="D625" s="1685"/>
      <c r="E625" s="921"/>
      <c r="F625" s="921"/>
      <c r="G625" s="925"/>
      <c r="H625" s="1793"/>
      <c r="I625" s="331"/>
      <c r="J625" s="331"/>
      <c r="K625" s="169">
        <v>2022</v>
      </c>
      <c r="L625" s="1446">
        <v>222020</v>
      </c>
      <c r="M625" s="1446"/>
      <c r="N625" s="170" t="s">
        <v>165</v>
      </c>
      <c r="O625" s="178" t="s">
        <v>4335</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916"/>
      <c r="BM625" s="1451"/>
      <c r="BN625" s="1029"/>
      <c r="BO625" s="1029"/>
      <c r="BP625" s="1065"/>
      <c r="BQ625" s="1065"/>
      <c r="BR625" s="1065"/>
      <c r="BS625" s="924"/>
      <c r="BT625" s="1065"/>
      <c r="BU625" s="1065"/>
      <c r="BV625" s="687"/>
      <c r="BW625" s="685"/>
      <c r="BX625" s="13"/>
      <c r="BY625" s="158"/>
      <c r="BZ625" s="158"/>
      <c r="CA625" s="13"/>
      <c r="CB625" s="13"/>
      <c r="CC625" s="13"/>
      <c r="CD625" s="13"/>
      <c r="CE625" s="1246" t="s">
        <v>3947</v>
      </c>
      <c r="CF625" s="38"/>
    </row>
    <row r="626" spans="1:84" ht="119.25" hidden="1" customHeight="1">
      <c r="A626" s="1467"/>
      <c r="B626" s="22"/>
      <c r="C626" s="1685"/>
      <c r="D626" s="1685"/>
      <c r="E626" s="921"/>
      <c r="F626" s="921"/>
      <c r="G626" s="925"/>
      <c r="H626" s="1793"/>
      <c r="I626" s="331"/>
      <c r="J626" s="331"/>
      <c r="K626" s="169">
        <v>2022</v>
      </c>
      <c r="L626" s="1446">
        <v>223001</v>
      </c>
      <c r="M626" s="1446"/>
      <c r="N626" s="170" t="s">
        <v>165</v>
      </c>
      <c r="O626" s="178" t="s">
        <v>4336</v>
      </c>
      <c r="P626" s="172" t="s">
        <v>46</v>
      </c>
      <c r="Q626" s="173" t="s">
        <v>4380</v>
      </c>
      <c r="R626" s="173" t="s">
        <v>2515</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916"/>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3947</v>
      </c>
      <c r="CF626" s="38" t="s">
        <v>4382</v>
      </c>
    </row>
    <row r="627" spans="1:84" ht="106.5" hidden="1" customHeight="1">
      <c r="A627" s="1467"/>
      <c r="B627" s="22"/>
      <c r="C627" s="1685"/>
      <c r="D627" s="1685"/>
      <c r="E627" s="921"/>
      <c r="F627" s="921"/>
      <c r="G627" s="925"/>
      <c r="H627" s="1793"/>
      <c r="I627" s="331"/>
      <c r="J627" s="331"/>
      <c r="K627" s="169">
        <v>2022</v>
      </c>
      <c r="L627" s="1446">
        <v>223002</v>
      </c>
      <c r="M627" s="1446"/>
      <c r="N627" s="170" t="s">
        <v>165</v>
      </c>
      <c r="O627" s="178" t="s">
        <v>4337</v>
      </c>
      <c r="P627" s="172" t="s">
        <v>46</v>
      </c>
      <c r="Q627" s="173" t="s">
        <v>4381</v>
      </c>
      <c r="R627" s="173" t="s">
        <v>2651</v>
      </c>
      <c r="S627" s="586">
        <f>550*1.16</f>
        <v>638</v>
      </c>
      <c r="T627" s="582">
        <v>44594</v>
      </c>
      <c r="U627" s="176" t="s">
        <v>67</v>
      </c>
      <c r="V627" s="177" t="s">
        <v>67</v>
      </c>
      <c r="W627" s="105" t="s">
        <v>67</v>
      </c>
      <c r="X627" s="178" t="s">
        <v>4365</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916"/>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3947</v>
      </c>
      <c r="CF627" s="38" t="s">
        <v>4383</v>
      </c>
    </row>
    <row r="628" spans="1:84" ht="114.75" hidden="1" customHeight="1">
      <c r="A628" s="1467"/>
      <c r="B628" s="22"/>
      <c r="C628" s="1685"/>
      <c r="D628" s="1685"/>
      <c r="E628" s="921"/>
      <c r="F628" s="921"/>
      <c r="G628" s="925"/>
      <c r="H628" s="1793"/>
      <c r="I628" s="331"/>
      <c r="J628" s="331"/>
      <c r="K628" s="169">
        <v>2022</v>
      </c>
      <c r="L628" s="1446">
        <v>223003</v>
      </c>
      <c r="M628" s="1446"/>
      <c r="N628" s="170" t="s">
        <v>165</v>
      </c>
      <c r="O628" s="178" t="s">
        <v>4338</v>
      </c>
      <c r="P628" s="172" t="s">
        <v>46</v>
      </c>
      <c r="Q628" s="173" t="s">
        <v>4380</v>
      </c>
      <c r="R628" s="173" t="s">
        <v>2515</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916"/>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3947</v>
      </c>
      <c r="CF628" s="38"/>
    </row>
    <row r="629" spans="1:84" ht="111" hidden="1" customHeight="1">
      <c r="A629" s="1467"/>
      <c r="B629" s="22"/>
      <c r="C629" s="1685"/>
      <c r="D629" s="1685"/>
      <c r="E629" s="921"/>
      <c r="F629" s="921"/>
      <c r="G629" s="925"/>
      <c r="H629" s="1793"/>
      <c r="I629" s="331"/>
      <c r="J629" s="331"/>
      <c r="K629" s="169">
        <v>2022</v>
      </c>
      <c r="L629" s="1446">
        <v>223004</v>
      </c>
      <c r="M629" s="1446"/>
      <c r="N629" s="170" t="s">
        <v>165</v>
      </c>
      <c r="O629" s="178" t="s">
        <v>4339</v>
      </c>
      <c r="P629" s="172" t="s">
        <v>46</v>
      </c>
      <c r="Q629" s="173" t="s">
        <v>4835</v>
      </c>
      <c r="R629" s="173" t="s">
        <v>2515</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916"/>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3947</v>
      </c>
      <c r="CF629" s="38"/>
    </row>
    <row r="630" spans="1:84" ht="105.75" hidden="1" customHeight="1">
      <c r="A630" s="1467"/>
      <c r="B630" s="22"/>
      <c r="C630" s="1685"/>
      <c r="D630" s="1685"/>
      <c r="E630" s="921"/>
      <c r="F630" s="921"/>
      <c r="G630" s="925"/>
      <c r="H630" s="1793"/>
      <c r="I630" s="331"/>
      <c r="J630" s="331"/>
      <c r="K630" s="169">
        <v>2022</v>
      </c>
      <c r="L630" s="1446">
        <v>223005</v>
      </c>
      <c r="M630" s="1446"/>
      <c r="N630" s="170" t="s">
        <v>165</v>
      </c>
      <c r="O630" s="178" t="s">
        <v>4340</v>
      </c>
      <c r="P630" s="172" t="s">
        <v>46</v>
      </c>
      <c r="Q630" s="173" t="s">
        <v>4836</v>
      </c>
      <c r="R630" s="173" t="s">
        <v>2515</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916"/>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3947</v>
      </c>
      <c r="CF630" s="38"/>
    </row>
    <row r="631" spans="1:84" ht="131.25" hidden="1" customHeight="1">
      <c r="A631" s="1467"/>
      <c r="B631" s="22"/>
      <c r="C631" s="1685"/>
      <c r="D631" s="1685"/>
      <c r="E631" s="921"/>
      <c r="F631" s="921"/>
      <c r="G631" s="925"/>
      <c r="H631" s="1793"/>
      <c r="I631" s="331"/>
      <c r="J631" s="331"/>
      <c r="K631" s="169">
        <v>2022</v>
      </c>
      <c r="L631" s="1446">
        <v>223006</v>
      </c>
      <c r="M631" s="1446"/>
      <c r="N631" s="170" t="s">
        <v>165</v>
      </c>
      <c r="O631" s="178" t="s">
        <v>4341</v>
      </c>
      <c r="P631" s="172" t="s">
        <v>46</v>
      </c>
      <c r="Q631" s="173" t="s">
        <v>4837</v>
      </c>
      <c r="R631" s="173" t="s">
        <v>2580</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916"/>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3947</v>
      </c>
      <c r="CF631" s="38"/>
    </row>
    <row r="632" spans="1:84" ht="138" hidden="1" customHeight="1">
      <c r="A632" s="1467"/>
      <c r="B632" s="22"/>
      <c r="C632" s="1685"/>
      <c r="D632" s="1685"/>
      <c r="E632" s="921"/>
      <c r="F632" s="921"/>
      <c r="G632" s="925"/>
      <c r="H632" s="1793"/>
      <c r="I632" s="331"/>
      <c r="J632" s="331"/>
      <c r="K632" s="169">
        <v>2022</v>
      </c>
      <c r="L632" s="1446">
        <v>223007</v>
      </c>
      <c r="M632" s="1446"/>
      <c r="N632" s="170" t="s">
        <v>165</v>
      </c>
      <c r="O632" s="178" t="s">
        <v>4342</v>
      </c>
      <c r="P632" s="172" t="s">
        <v>46</v>
      </c>
      <c r="Q632" s="173" t="s">
        <v>4838</v>
      </c>
      <c r="R632" s="173" t="s">
        <v>2580</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916"/>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3947</v>
      </c>
      <c r="CF632" s="38"/>
    </row>
    <row r="633" spans="1:84" ht="135.75" hidden="1" customHeight="1">
      <c r="A633" s="1467"/>
      <c r="B633" s="22"/>
      <c r="C633" s="1685"/>
      <c r="D633" s="1685"/>
      <c r="E633" s="921"/>
      <c r="F633" s="921"/>
      <c r="G633" s="925"/>
      <c r="H633" s="1793"/>
      <c r="I633" s="331"/>
      <c r="J633" s="331"/>
      <c r="K633" s="169">
        <v>2022</v>
      </c>
      <c r="L633" s="1446">
        <v>223008</v>
      </c>
      <c r="M633" s="1446"/>
      <c r="N633" s="170" t="s">
        <v>165</v>
      </c>
      <c r="O633" s="178" t="s">
        <v>4343</v>
      </c>
      <c r="P633" s="172" t="s">
        <v>46</v>
      </c>
      <c r="Q633" s="173" t="s">
        <v>4839</v>
      </c>
      <c r="R633" s="173" t="s">
        <v>2580</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916"/>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3947</v>
      </c>
      <c r="CF633" s="38"/>
    </row>
    <row r="634" spans="1:84" ht="87.75" hidden="1" customHeight="1">
      <c r="A634" s="1467"/>
      <c r="B634" s="22"/>
      <c r="C634" s="1685"/>
      <c r="D634" s="1685"/>
      <c r="E634" s="921"/>
      <c r="F634" s="921"/>
      <c r="G634" s="925"/>
      <c r="H634" s="1793"/>
      <c r="I634" s="331"/>
      <c r="J634" s="331"/>
      <c r="K634" s="169">
        <v>2022</v>
      </c>
      <c r="L634" s="1446">
        <v>223009</v>
      </c>
      <c r="M634" s="1446"/>
      <c r="N634" s="170"/>
      <c r="O634" s="178" t="s">
        <v>4344</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916"/>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3947</v>
      </c>
      <c r="CF634" s="38"/>
    </row>
    <row r="635" spans="1:84" ht="87.75" hidden="1" customHeight="1">
      <c r="A635" s="1467"/>
      <c r="B635" s="22"/>
      <c r="C635" s="1685"/>
      <c r="D635" s="1685"/>
      <c r="E635" s="921"/>
      <c r="F635" s="921"/>
      <c r="G635" s="925"/>
      <c r="H635" s="1793"/>
      <c r="I635" s="331"/>
      <c r="J635" s="331"/>
      <c r="K635" s="169">
        <v>2022</v>
      </c>
      <c r="L635" s="1446">
        <v>223010</v>
      </c>
      <c r="M635" s="1446"/>
      <c r="N635" s="170"/>
      <c r="O635" s="178" t="s">
        <v>4345</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916"/>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3947</v>
      </c>
      <c r="CF635" s="38"/>
    </row>
    <row r="636" spans="1:84" ht="87.75" hidden="1" customHeight="1">
      <c r="A636" s="1467"/>
      <c r="B636" s="22" t="s">
        <v>4443</v>
      </c>
      <c r="C636" s="1685"/>
      <c r="D636" s="1685"/>
      <c r="E636" s="921">
        <v>44805</v>
      </c>
      <c r="F636" s="921">
        <v>44613</v>
      </c>
      <c r="G636" s="925">
        <v>44929</v>
      </c>
      <c r="H636" s="1793"/>
      <c r="I636" s="331">
        <v>44750</v>
      </c>
      <c r="J636" s="331"/>
      <c r="K636" s="169">
        <v>2022</v>
      </c>
      <c r="L636" s="1446">
        <v>224001</v>
      </c>
      <c r="M636" s="1446"/>
      <c r="N636" s="170" t="s">
        <v>76</v>
      </c>
      <c r="O636" s="178" t="s">
        <v>4346</v>
      </c>
      <c r="P636" s="172" t="s">
        <v>78</v>
      </c>
      <c r="Q636" s="173" t="s">
        <v>5793</v>
      </c>
      <c r="R636" s="173" t="s">
        <v>2515</v>
      </c>
      <c r="S636" s="586">
        <v>98067.87</v>
      </c>
      <c r="T636" s="582">
        <v>44628</v>
      </c>
      <c r="U636" s="176">
        <v>44634</v>
      </c>
      <c r="V636" s="177">
        <v>44639</v>
      </c>
      <c r="W636" s="105">
        <v>44627</v>
      </c>
      <c r="X636" s="178" t="s">
        <v>3475</v>
      </c>
      <c r="Y636" s="170" t="s">
        <v>69</v>
      </c>
      <c r="Z636" s="201">
        <v>44627</v>
      </c>
      <c r="AA636" s="369" t="s">
        <v>5006</v>
      </c>
      <c r="AB636" s="33" t="s">
        <v>4390</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62" t="str">
        <f t="shared" ref="BF636:BF651" si="21">O636</f>
        <v>GMJ 001 C-OP/2022</v>
      </c>
      <c r="BG636" s="71">
        <v>44634</v>
      </c>
      <c r="BH636" s="71">
        <v>44639</v>
      </c>
      <c r="BI636" s="71">
        <v>44639</v>
      </c>
      <c r="BJ636" s="36">
        <f>AT636+AU636</f>
        <v>97999</v>
      </c>
      <c r="BK636" s="68">
        <v>44643</v>
      </c>
      <c r="BL636" s="68"/>
      <c r="BM636" s="1892">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3947</v>
      </c>
      <c r="CF636" s="38"/>
    </row>
    <row r="637" spans="1:84" ht="87.75" hidden="1" customHeight="1">
      <c r="A637" s="1467"/>
      <c r="B637" s="22" t="s">
        <v>4443</v>
      </c>
      <c r="C637" s="1685"/>
      <c r="D637" s="1685"/>
      <c r="E637" s="921">
        <v>44805</v>
      </c>
      <c r="F637" s="921">
        <v>44613</v>
      </c>
      <c r="G637" s="925">
        <v>44896</v>
      </c>
      <c r="H637" s="1793"/>
      <c r="I637" s="331">
        <v>44750</v>
      </c>
      <c r="J637" s="331"/>
      <c r="K637" s="169">
        <v>2022</v>
      </c>
      <c r="L637" s="1446">
        <v>224002</v>
      </c>
      <c r="M637" s="1446"/>
      <c r="N637" s="170" t="s">
        <v>76</v>
      </c>
      <c r="O637" s="178" t="s">
        <v>4347</v>
      </c>
      <c r="P637" s="172" t="s">
        <v>78</v>
      </c>
      <c r="Q637" s="173" t="s">
        <v>4817</v>
      </c>
      <c r="R637" s="173" t="s">
        <v>2515</v>
      </c>
      <c r="S637" s="586">
        <v>160513.82999999999</v>
      </c>
      <c r="T637" s="582">
        <v>44628</v>
      </c>
      <c r="U637" s="176">
        <v>44634</v>
      </c>
      <c r="V637" s="177">
        <v>44653</v>
      </c>
      <c r="W637" s="105">
        <v>44627</v>
      </c>
      <c r="X637" s="178" t="s">
        <v>4365</v>
      </c>
      <c r="Y637" s="170" t="s">
        <v>69</v>
      </c>
      <c r="Z637" s="201">
        <v>44627</v>
      </c>
      <c r="AA637" s="369" t="s">
        <v>5006</v>
      </c>
      <c r="AB637" s="33" t="s">
        <v>4391</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4538</v>
      </c>
      <c r="AP637" s="5">
        <v>44673</v>
      </c>
      <c r="AQ637" s="2" t="s">
        <v>4539</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62"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3947</v>
      </c>
      <c r="CF637" s="38"/>
    </row>
    <row r="638" spans="1:84" ht="87.75" hidden="1" customHeight="1">
      <c r="A638" s="1467"/>
      <c r="B638" s="22" t="s">
        <v>4443</v>
      </c>
      <c r="C638" s="1685"/>
      <c r="D638" s="1685"/>
      <c r="E638" s="921">
        <v>44805</v>
      </c>
      <c r="F638" s="921">
        <v>44613</v>
      </c>
      <c r="G638" s="925">
        <v>45063</v>
      </c>
      <c r="H638" s="1793"/>
      <c r="I638" s="331">
        <v>44783</v>
      </c>
      <c r="J638" s="331"/>
      <c r="K638" s="169">
        <v>2022</v>
      </c>
      <c r="L638" s="1446">
        <v>224003</v>
      </c>
      <c r="M638" s="1446"/>
      <c r="N638" s="170" t="s">
        <v>76</v>
      </c>
      <c r="O638" s="178" t="s">
        <v>4348</v>
      </c>
      <c r="P638" s="172" t="s">
        <v>78</v>
      </c>
      <c r="Q638" s="173" t="s">
        <v>4366</v>
      </c>
      <c r="R638" s="173" t="s">
        <v>2515</v>
      </c>
      <c r="S638" s="586">
        <v>236056.39</v>
      </c>
      <c r="T638" s="582">
        <v>44628</v>
      </c>
      <c r="U638" s="176">
        <v>44634</v>
      </c>
      <c r="V638" s="177">
        <v>44653</v>
      </c>
      <c r="W638" s="105">
        <v>44627</v>
      </c>
      <c r="X638" s="178" t="s">
        <v>4365</v>
      </c>
      <c r="Y638" s="170" t="s">
        <v>69</v>
      </c>
      <c r="Z638" s="201">
        <v>44627</v>
      </c>
      <c r="AA638" s="369" t="s">
        <v>5006</v>
      </c>
      <c r="AB638" s="33" t="s">
        <v>4392</v>
      </c>
      <c r="AC638" s="8">
        <v>44606</v>
      </c>
      <c r="AD638" s="79">
        <v>236056.39</v>
      </c>
      <c r="AE638" s="79"/>
      <c r="AF638" s="642"/>
      <c r="AG638" s="574" t="s">
        <v>67</v>
      </c>
      <c r="AH638" s="575" t="s">
        <v>67</v>
      </c>
      <c r="AI638" s="575" t="s">
        <v>67</v>
      </c>
      <c r="AJ638" s="576" t="s">
        <v>67</v>
      </c>
      <c r="AK638" s="573" t="s">
        <v>67</v>
      </c>
      <c r="AL638" s="33" t="s">
        <v>1341</v>
      </c>
      <c r="AM638" s="1" t="s">
        <v>67</v>
      </c>
      <c r="AN638" s="5"/>
      <c r="AO638" s="2" t="s">
        <v>4540</v>
      </c>
      <c r="AP638" s="5">
        <v>44673</v>
      </c>
      <c r="AQ638" s="1893"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62"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3947</v>
      </c>
      <c r="CF638" s="38"/>
    </row>
    <row r="639" spans="1:84" ht="187.5" hidden="1" customHeight="1">
      <c r="A639" s="1467"/>
      <c r="B639" s="22"/>
      <c r="C639" s="1685"/>
      <c r="D639" s="1685"/>
      <c r="E639" s="921">
        <v>44805</v>
      </c>
      <c r="F639" s="1599">
        <v>44774</v>
      </c>
      <c r="G639" s="925">
        <v>45076</v>
      </c>
      <c r="H639" s="1793"/>
      <c r="I639" s="331">
        <v>44902</v>
      </c>
      <c r="J639" s="331"/>
      <c r="K639" s="169">
        <v>2022</v>
      </c>
      <c r="L639" s="1446">
        <v>224004</v>
      </c>
      <c r="M639" s="1446"/>
      <c r="N639" s="170" t="s">
        <v>76</v>
      </c>
      <c r="O639" s="178" t="s">
        <v>4349</v>
      </c>
      <c r="P639" s="172" t="s">
        <v>78</v>
      </c>
      <c r="Q639" s="173" t="s">
        <v>4367</v>
      </c>
      <c r="R639" s="173" t="s">
        <v>4826</v>
      </c>
      <c r="S639" s="174">
        <v>2031883.8</v>
      </c>
      <c r="T639" s="545">
        <v>44690</v>
      </c>
      <c r="U639" s="176">
        <v>44692</v>
      </c>
      <c r="V639" s="177">
        <v>44765</v>
      </c>
      <c r="W639" s="1000">
        <v>44687</v>
      </c>
      <c r="X639" s="178" t="s">
        <v>4368</v>
      </c>
      <c r="Y639" s="170" t="s">
        <v>448</v>
      </c>
      <c r="Z639" s="1115">
        <v>44685</v>
      </c>
      <c r="AA639" s="369" t="s">
        <v>5006</v>
      </c>
      <c r="AB639" s="242" t="s">
        <v>4393</v>
      </c>
      <c r="AC639" s="8">
        <v>44617</v>
      </c>
      <c r="AD639" s="4">
        <v>2500000</v>
      </c>
      <c r="AE639" s="237" t="s">
        <v>4394</v>
      </c>
      <c r="AF639" s="32">
        <v>2500000</v>
      </c>
      <c r="AG639" s="1578" t="s">
        <v>67</v>
      </c>
      <c r="AH639" s="1579" t="s">
        <v>67</v>
      </c>
      <c r="AI639" s="1579" t="s">
        <v>67</v>
      </c>
      <c r="AJ639" s="1580" t="s">
        <v>67</v>
      </c>
      <c r="AK639" s="407" t="s">
        <v>67</v>
      </c>
      <c r="AL639" s="242" t="s">
        <v>1269</v>
      </c>
      <c r="AM639" s="389" t="s">
        <v>4541</v>
      </c>
      <c r="AN639" s="1612">
        <v>44694</v>
      </c>
      <c r="AO639" s="389" t="s">
        <v>4542</v>
      </c>
      <c r="AP639" s="1612">
        <v>44694</v>
      </c>
      <c r="AQ639" s="389" t="s">
        <v>4543</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62"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93">
        <v>2</v>
      </c>
      <c r="BW639" s="1695">
        <v>0</v>
      </c>
      <c r="BX639" s="13"/>
      <c r="BY639" s="158"/>
      <c r="BZ639" s="158"/>
      <c r="CA639" s="13"/>
      <c r="CB639" s="13"/>
      <c r="CC639" s="13"/>
      <c r="CD639" s="13"/>
      <c r="CE639" s="1246" t="s">
        <v>3947</v>
      </c>
      <c r="CF639" s="1694" t="s">
        <v>1142</v>
      </c>
    </row>
    <row r="640" spans="1:84" ht="87.75" hidden="1" customHeight="1">
      <c r="A640" s="1467"/>
      <c r="B640" s="22"/>
      <c r="C640" s="1686">
        <v>45068</v>
      </c>
      <c r="D640" s="1690">
        <v>5</v>
      </c>
      <c r="E640" s="921">
        <v>44805</v>
      </c>
      <c r="F640" s="1599">
        <v>44774</v>
      </c>
      <c r="G640" s="925">
        <v>45076</v>
      </c>
      <c r="H640" s="1793"/>
      <c r="I640" s="331">
        <v>44902</v>
      </c>
      <c r="J640" s="331"/>
      <c r="K640" s="169">
        <v>2022</v>
      </c>
      <c r="L640" s="1446">
        <v>224005</v>
      </c>
      <c r="M640" s="1446"/>
      <c r="N640" s="170" t="s">
        <v>165</v>
      </c>
      <c r="O640" s="178" t="s">
        <v>4350</v>
      </c>
      <c r="P640" s="172" t="s">
        <v>78</v>
      </c>
      <c r="Q640" s="173" t="s">
        <v>4369</v>
      </c>
      <c r="R640" s="452" t="s">
        <v>2580</v>
      </c>
      <c r="S640" s="174">
        <v>793754.52</v>
      </c>
      <c r="T640" s="545">
        <v>44704</v>
      </c>
      <c r="U640" s="176">
        <v>44705</v>
      </c>
      <c r="V640" s="177">
        <v>44712</v>
      </c>
      <c r="W640" s="1000">
        <v>44704</v>
      </c>
      <c r="X640" s="178" t="s">
        <v>3472</v>
      </c>
      <c r="Y640" s="170" t="s">
        <v>69</v>
      </c>
      <c r="Z640" s="1115" t="s">
        <v>1427</v>
      </c>
      <c r="AA640" s="369" t="s">
        <v>1176</v>
      </c>
      <c r="AB640" s="242" t="s">
        <v>4395</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4544</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62"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93">
        <v>0</v>
      </c>
      <c r="BW640" s="1695">
        <v>0</v>
      </c>
      <c r="BX640" s="13"/>
      <c r="BY640" s="158"/>
      <c r="BZ640" s="158"/>
      <c r="CA640" s="13"/>
      <c r="CB640" s="13"/>
      <c r="CC640" s="13"/>
      <c r="CD640" s="13"/>
      <c r="CE640" s="1246" t="s">
        <v>3947</v>
      </c>
      <c r="CF640" s="1694" t="s">
        <v>1142</v>
      </c>
    </row>
    <row r="641" spans="1:84" ht="87.75" hidden="1" customHeight="1">
      <c r="A641" s="1467"/>
      <c r="B641" s="22"/>
      <c r="C641" s="1685"/>
      <c r="D641" s="1685"/>
      <c r="E641" s="921">
        <v>44805</v>
      </c>
      <c r="F641" s="1599">
        <v>44774</v>
      </c>
      <c r="G641" s="925">
        <v>45076</v>
      </c>
      <c r="H641" s="1793"/>
      <c r="I641" s="331">
        <v>44902</v>
      </c>
      <c r="J641" s="331"/>
      <c r="K641" s="169">
        <v>2022</v>
      </c>
      <c r="L641" s="1446">
        <v>224006</v>
      </c>
      <c r="M641" s="1446"/>
      <c r="N641" s="170" t="s">
        <v>76</v>
      </c>
      <c r="O641" s="178" t="s">
        <v>4351</v>
      </c>
      <c r="P641" s="172" t="s">
        <v>78</v>
      </c>
      <c r="Q641" s="173" t="s">
        <v>4444</v>
      </c>
      <c r="R641" s="452" t="s">
        <v>2580</v>
      </c>
      <c r="S641" s="174">
        <v>579637.71</v>
      </c>
      <c r="T641" s="545">
        <v>44704</v>
      </c>
      <c r="U641" s="176">
        <v>44712</v>
      </c>
      <c r="V641" s="177">
        <v>44722</v>
      </c>
      <c r="W641" s="1000">
        <v>44704</v>
      </c>
      <c r="X641" s="178" t="s">
        <v>3472</v>
      </c>
      <c r="Y641" s="170" t="s">
        <v>69</v>
      </c>
      <c r="Z641" s="1115">
        <v>44704</v>
      </c>
      <c r="AA641" s="369" t="s">
        <v>5023</v>
      </c>
      <c r="AB641" s="242" t="s">
        <v>4396</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4545</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62"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96">
        <v>44725</v>
      </c>
      <c r="BV641" s="1693">
        <v>0</v>
      </c>
      <c r="BW641" s="1695">
        <v>0</v>
      </c>
      <c r="BX641" s="13"/>
      <c r="BY641" s="158"/>
      <c r="BZ641" s="158"/>
      <c r="CA641" s="13"/>
      <c r="CB641" s="13"/>
      <c r="CC641" s="13"/>
      <c r="CD641" s="13"/>
      <c r="CE641" s="1246" t="s">
        <v>3947</v>
      </c>
      <c r="CF641" s="1694" t="s">
        <v>1142</v>
      </c>
    </row>
    <row r="642" spans="1:84" ht="87.75" hidden="1" customHeight="1">
      <c r="A642" s="1467"/>
      <c r="B642" s="22"/>
      <c r="C642" s="1685"/>
      <c r="D642" s="1685"/>
      <c r="E642" s="921">
        <v>44805</v>
      </c>
      <c r="F642" s="921">
        <v>44719</v>
      </c>
      <c r="G642" s="925">
        <v>44897</v>
      </c>
      <c r="H642" s="1793"/>
      <c r="I642" s="331">
        <v>44783</v>
      </c>
      <c r="J642" s="331"/>
      <c r="K642" s="169">
        <v>2022</v>
      </c>
      <c r="L642" s="1446">
        <v>224007</v>
      </c>
      <c r="M642" s="1446"/>
      <c r="N642" s="170" t="s">
        <v>76</v>
      </c>
      <c r="O642" s="178" t="s">
        <v>4352</v>
      </c>
      <c r="P642" s="172" t="s">
        <v>78</v>
      </c>
      <c r="Q642" s="173" t="s">
        <v>4451</v>
      </c>
      <c r="R642" s="173" t="s">
        <v>4412</v>
      </c>
      <c r="S642" s="586">
        <v>627108.43000000005</v>
      </c>
      <c r="T642" s="582">
        <v>44704</v>
      </c>
      <c r="U642" s="176">
        <v>44705</v>
      </c>
      <c r="V642" s="177">
        <v>44742</v>
      </c>
      <c r="W642" s="105">
        <v>44704</v>
      </c>
      <c r="X642" s="178" t="s">
        <v>4450</v>
      </c>
      <c r="Y642" s="170" t="s">
        <v>69</v>
      </c>
      <c r="Z642" s="201">
        <v>44698</v>
      </c>
      <c r="AA642" s="369" t="s">
        <v>5006</v>
      </c>
      <c r="AB642" s="33" t="s">
        <v>4524</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4525</v>
      </c>
      <c r="AP642" s="5">
        <v>44705</v>
      </c>
      <c r="AQ642" s="2" t="s">
        <v>4526</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62" t="str">
        <f t="shared" si="21"/>
        <v>GMJ 007 C-OP/2022</v>
      </c>
      <c r="BG642" s="5">
        <v>44705</v>
      </c>
      <c r="BH642" s="5">
        <v>44742</v>
      </c>
      <c r="BI642" s="5">
        <v>44740</v>
      </c>
      <c r="BJ642" s="36">
        <f>AT642+AU642</f>
        <v>694906.61</v>
      </c>
      <c r="BK642" s="68">
        <v>44741</v>
      </c>
      <c r="BL642" s="68"/>
      <c r="BM642" s="70">
        <v>44705</v>
      </c>
      <c r="BN642" s="1894" t="s">
        <v>73</v>
      </c>
      <c r="BO642" s="71">
        <v>44704</v>
      </c>
      <c r="BP642" s="1895"/>
      <c r="BQ642" s="924">
        <v>44700</v>
      </c>
      <c r="BR642" s="924">
        <v>44700</v>
      </c>
      <c r="BS642" s="924">
        <v>44700</v>
      </c>
      <c r="BT642" s="924">
        <v>44740</v>
      </c>
      <c r="BU642" s="924">
        <v>44741</v>
      </c>
      <c r="BV642" s="1693">
        <v>2</v>
      </c>
      <c r="BW642" s="1695">
        <v>0</v>
      </c>
      <c r="BX642" s="13"/>
      <c r="BY642" s="158"/>
      <c r="BZ642" s="158"/>
      <c r="CA642" s="13"/>
      <c r="CB642" s="13"/>
      <c r="CC642" s="13"/>
      <c r="CD642" s="13"/>
      <c r="CE642" s="1246" t="s">
        <v>3947</v>
      </c>
      <c r="CF642" s="38"/>
    </row>
    <row r="643" spans="1:84" ht="99.75" hidden="1" customHeight="1">
      <c r="A643" s="1467"/>
      <c r="B643" s="22"/>
      <c r="C643" s="1685"/>
      <c r="D643" s="1685"/>
      <c r="E643" s="921">
        <v>44805</v>
      </c>
      <c r="F643" s="1599">
        <v>44802</v>
      </c>
      <c r="G643" s="925">
        <v>45076</v>
      </c>
      <c r="H643" s="1793"/>
      <c r="I643" s="331">
        <v>44783</v>
      </c>
      <c r="J643" s="331"/>
      <c r="K643" s="169">
        <v>2022</v>
      </c>
      <c r="L643" s="1446">
        <v>224008</v>
      </c>
      <c r="M643" s="1446"/>
      <c r="N643" s="170" t="s">
        <v>76</v>
      </c>
      <c r="O643" s="178" t="s">
        <v>4353</v>
      </c>
      <c r="P643" s="172" t="s">
        <v>78</v>
      </c>
      <c r="Q643" s="173" t="s">
        <v>4452</v>
      </c>
      <c r="R643" s="173" t="s">
        <v>4412</v>
      </c>
      <c r="S643" s="174">
        <v>168470.35</v>
      </c>
      <c r="T643" s="545">
        <v>44707</v>
      </c>
      <c r="U643" s="176">
        <v>44711</v>
      </c>
      <c r="V643" s="177">
        <v>44722</v>
      </c>
      <c r="W643" s="1000">
        <v>44706</v>
      </c>
      <c r="X643" s="178" t="s">
        <v>3475</v>
      </c>
      <c r="Y643" s="170" t="s">
        <v>69</v>
      </c>
      <c r="Z643" s="1115">
        <v>44690</v>
      </c>
      <c r="AA643" s="369" t="s">
        <v>5006</v>
      </c>
      <c r="AB643" s="242" t="s">
        <v>4527</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62"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93">
        <v>2</v>
      </c>
      <c r="BW643" s="1695">
        <v>0</v>
      </c>
      <c r="BX643" s="13"/>
      <c r="BY643" s="158"/>
      <c r="BZ643" s="158"/>
      <c r="CA643" s="13"/>
      <c r="CB643" s="13"/>
      <c r="CC643" s="13"/>
      <c r="CD643" s="13"/>
      <c r="CE643" s="1246" t="s">
        <v>3947</v>
      </c>
      <c r="CF643" s="1694" t="s">
        <v>1142</v>
      </c>
    </row>
    <row r="644" spans="1:84" ht="87.75" hidden="1" customHeight="1">
      <c r="A644" s="1467"/>
      <c r="B644" s="22"/>
      <c r="C644" s="1685"/>
      <c r="D644" s="1685"/>
      <c r="E644" s="921">
        <v>44805</v>
      </c>
      <c r="F644" s="921">
        <v>44802</v>
      </c>
      <c r="G644" s="925">
        <v>45075</v>
      </c>
      <c r="H644" s="1793"/>
      <c r="I644" s="331">
        <v>44816</v>
      </c>
      <c r="J644" s="331"/>
      <c r="K644" s="169">
        <v>2022</v>
      </c>
      <c r="L644" s="1446">
        <v>224009</v>
      </c>
      <c r="M644" s="1446"/>
      <c r="N644" s="170" t="s">
        <v>76</v>
      </c>
      <c r="O644" s="178" t="s">
        <v>4354</v>
      </c>
      <c r="P644" s="172" t="s">
        <v>78</v>
      </c>
      <c r="Q644" s="173" t="s">
        <v>4454</v>
      </c>
      <c r="R644" s="173" t="s">
        <v>2541</v>
      </c>
      <c r="S644" s="586">
        <v>809084.8</v>
      </c>
      <c r="T644" s="582">
        <v>44736</v>
      </c>
      <c r="U644" s="176">
        <v>44760</v>
      </c>
      <c r="V644" s="177">
        <v>44804</v>
      </c>
      <c r="W644" s="105">
        <v>44789</v>
      </c>
      <c r="X644" s="178" t="s">
        <v>4453</v>
      </c>
      <c r="Y644" s="170" t="s">
        <v>69</v>
      </c>
      <c r="Z644" s="201">
        <v>44788</v>
      </c>
      <c r="AA644" s="369" t="s">
        <v>4619</v>
      </c>
      <c r="AB644" s="33" t="s">
        <v>4528</v>
      </c>
      <c r="AC644" s="8">
        <v>44664</v>
      </c>
      <c r="AD644" s="79">
        <v>729486</v>
      </c>
      <c r="AE644" s="79"/>
      <c r="AF644" s="642"/>
      <c r="AG644" s="574" t="s">
        <v>67</v>
      </c>
      <c r="AH644" s="575" t="s">
        <v>67</v>
      </c>
      <c r="AI644" s="575" t="s">
        <v>67</v>
      </c>
      <c r="AJ644" s="576" t="s">
        <v>67</v>
      </c>
      <c r="AK644" s="573" t="s">
        <v>67</v>
      </c>
      <c r="AL644" s="33" t="s">
        <v>3576</v>
      </c>
      <c r="AM644" s="1" t="s">
        <v>67</v>
      </c>
      <c r="AN644" s="5"/>
      <c r="AO644" s="1">
        <v>2702065</v>
      </c>
      <c r="AP644" s="5">
        <v>44796</v>
      </c>
      <c r="AQ644" s="1893"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62" t="str">
        <f t="shared" si="21"/>
        <v>GMJ 009 C-OP/2022</v>
      </c>
      <c r="BG644" s="5"/>
      <c r="BH644" s="5"/>
      <c r="BI644" s="5"/>
      <c r="BJ644" s="36"/>
      <c r="BK644" s="1896" t="s">
        <v>73</v>
      </c>
      <c r="BL644" s="1896"/>
      <c r="BM644" s="70">
        <v>44792</v>
      </c>
      <c r="BN644" s="1894" t="s">
        <v>73</v>
      </c>
      <c r="BO644" s="1894" t="s">
        <v>73</v>
      </c>
      <c r="BP644" s="1421"/>
      <c r="BQ644" s="924">
        <v>44809</v>
      </c>
      <c r="BR644" s="1895" t="s">
        <v>73</v>
      </c>
      <c r="BS644" s="924">
        <v>44818</v>
      </c>
      <c r="BT644" s="924">
        <v>44833</v>
      </c>
      <c r="BU644" s="924">
        <v>44727</v>
      </c>
      <c r="BV644" s="1693">
        <v>0</v>
      </c>
      <c r="BW644" s="1695">
        <v>0</v>
      </c>
      <c r="BX644" s="13"/>
      <c r="BY644" s="158"/>
      <c r="BZ644" s="158"/>
      <c r="CA644" s="13"/>
      <c r="CB644" s="13"/>
      <c r="CC644" s="13"/>
      <c r="CD644" s="13"/>
      <c r="CE644" s="1246" t="s">
        <v>3947</v>
      </c>
      <c r="CF644" s="38"/>
    </row>
    <row r="645" spans="1:84" ht="102.75" hidden="1" customHeight="1">
      <c r="A645" s="1467"/>
      <c r="B645" s="22"/>
      <c r="C645" s="1685"/>
      <c r="D645" s="1888"/>
      <c r="E645" s="921">
        <v>44805</v>
      </c>
      <c r="F645" s="921">
        <v>44768</v>
      </c>
      <c r="G645" s="925">
        <v>45085</v>
      </c>
      <c r="H645" s="1793"/>
      <c r="I645" s="331">
        <v>44902</v>
      </c>
      <c r="J645" s="331"/>
      <c r="K645" s="169">
        <v>2022</v>
      </c>
      <c r="L645" s="1446">
        <v>224010</v>
      </c>
      <c r="M645" s="1446"/>
      <c r="N645" s="170" t="s">
        <v>76</v>
      </c>
      <c r="O645" s="178" t="s">
        <v>4355</v>
      </c>
      <c r="P645" s="172" t="s">
        <v>78</v>
      </c>
      <c r="Q645" s="173" t="s">
        <v>4475</v>
      </c>
      <c r="R645" s="173" t="s">
        <v>1975</v>
      </c>
      <c r="S645" s="586">
        <v>1697255.04</v>
      </c>
      <c r="T645" s="582">
        <v>44763</v>
      </c>
      <c r="U645" s="176">
        <v>44767</v>
      </c>
      <c r="V645" s="177">
        <v>44814</v>
      </c>
      <c r="W645" s="105">
        <v>44762</v>
      </c>
      <c r="X645" s="178" t="s">
        <v>738</v>
      </c>
      <c r="Y645" s="170" t="s">
        <v>69</v>
      </c>
      <c r="Z645" s="201">
        <v>44757</v>
      </c>
      <c r="AA645" s="1403" t="s">
        <v>73</v>
      </c>
      <c r="AB645" s="33" t="s">
        <v>4529</v>
      </c>
      <c r="AC645" s="8">
        <v>44704</v>
      </c>
      <c r="AD645" s="79">
        <v>1519708.04</v>
      </c>
      <c r="AE645" s="79"/>
      <c r="AF645" s="642"/>
      <c r="AG645" s="574" t="s">
        <v>67</v>
      </c>
      <c r="AH645" s="575" t="s">
        <v>67</v>
      </c>
      <c r="AI645" s="575" t="s">
        <v>67</v>
      </c>
      <c r="AJ645" s="576" t="s">
        <v>67</v>
      </c>
      <c r="AK645" s="573" t="s">
        <v>67</v>
      </c>
      <c r="AL645" s="33" t="s">
        <v>4556</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62"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93">
        <v>1</v>
      </c>
      <c r="BW645" s="1695">
        <v>0</v>
      </c>
      <c r="BX645" s="13"/>
      <c r="BY645" s="158"/>
      <c r="BZ645" s="158"/>
      <c r="CA645" s="13"/>
      <c r="CB645" s="13"/>
      <c r="CC645" s="13"/>
      <c r="CD645" s="13"/>
      <c r="CE645" s="1246" t="s">
        <v>3947</v>
      </c>
      <c r="CF645" s="38"/>
    </row>
    <row r="646" spans="1:84" ht="101.25" hidden="1" customHeight="1">
      <c r="A646" s="1467"/>
      <c r="B646" s="22"/>
      <c r="C646" s="1685">
        <v>45068</v>
      </c>
      <c r="D646" s="1888">
        <v>3</v>
      </c>
      <c r="E646" s="921">
        <v>44805</v>
      </c>
      <c r="F646" s="921">
        <v>44802</v>
      </c>
      <c r="G646" s="925">
        <v>45078</v>
      </c>
      <c r="H646" s="1793"/>
      <c r="I646" s="331">
        <v>44902</v>
      </c>
      <c r="J646" s="331"/>
      <c r="K646" s="169">
        <v>2022</v>
      </c>
      <c r="L646" s="1446">
        <v>224011</v>
      </c>
      <c r="M646" s="1446"/>
      <c r="N646" s="170" t="s">
        <v>165</v>
      </c>
      <c r="O646" s="178" t="s">
        <v>4356</v>
      </c>
      <c r="P646" s="172" t="s">
        <v>78</v>
      </c>
      <c r="Q646" s="173" t="s">
        <v>4483</v>
      </c>
      <c r="R646" s="173" t="s">
        <v>1975</v>
      </c>
      <c r="S646" s="586">
        <v>1343062.53</v>
      </c>
      <c r="T646" s="582">
        <v>44767</v>
      </c>
      <c r="U646" s="176">
        <v>44770</v>
      </c>
      <c r="V646" s="177">
        <v>44814</v>
      </c>
      <c r="W646" s="105">
        <v>44764</v>
      </c>
      <c r="X646" s="178" t="s">
        <v>738</v>
      </c>
      <c r="Y646" s="170" t="s">
        <v>448</v>
      </c>
      <c r="Z646" s="201" t="s">
        <v>1427</v>
      </c>
      <c r="AA646" s="369" t="s">
        <v>5023</v>
      </c>
      <c r="AB646" s="33" t="s">
        <v>4530</v>
      </c>
      <c r="AC646" s="8">
        <v>44729</v>
      </c>
      <c r="AD646" s="79">
        <v>1053007.45</v>
      </c>
      <c r="AE646" s="79"/>
      <c r="AF646" s="642"/>
      <c r="AG646" s="574" t="s">
        <v>67</v>
      </c>
      <c r="AH646" s="575" t="s">
        <v>67</v>
      </c>
      <c r="AI646" s="575" t="s">
        <v>67</v>
      </c>
      <c r="AJ646" s="576" t="s">
        <v>67</v>
      </c>
      <c r="AK646" s="573" t="s">
        <v>67</v>
      </c>
      <c r="AL646" s="33" t="s">
        <v>4199</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62" t="str">
        <f t="shared" si="21"/>
        <v>GMJ 011 C-OP/2022</v>
      </c>
      <c r="BG646" s="5">
        <v>44769</v>
      </c>
      <c r="BH646" s="5">
        <v>44814</v>
      </c>
      <c r="BI646" s="5">
        <v>44831</v>
      </c>
      <c r="BJ646" s="36">
        <f>AT646+AU646-0.01</f>
        <v>1343062.53</v>
      </c>
      <c r="BK646" s="1896" t="s">
        <v>73</v>
      </c>
      <c r="BL646" s="1896"/>
      <c r="BM646" s="70">
        <v>44768</v>
      </c>
      <c r="BN646" s="71">
        <v>44768</v>
      </c>
      <c r="BO646" s="71">
        <v>44768</v>
      </c>
      <c r="BP646" s="1421"/>
      <c r="BQ646" s="924">
        <v>44762</v>
      </c>
      <c r="BR646" s="924">
        <v>44768</v>
      </c>
      <c r="BS646" s="924">
        <v>44762</v>
      </c>
      <c r="BT646" s="924">
        <v>44800</v>
      </c>
      <c r="BU646" s="924">
        <v>44802</v>
      </c>
      <c r="BV646" s="1693">
        <v>0</v>
      </c>
      <c r="BW646" s="1695">
        <v>0</v>
      </c>
      <c r="BX646" s="13"/>
      <c r="BY646" s="158"/>
      <c r="BZ646" s="158"/>
      <c r="CA646" s="13"/>
      <c r="CB646" s="13"/>
      <c r="CC646" s="13"/>
      <c r="CD646" s="13"/>
      <c r="CE646" s="1246" t="s">
        <v>3947</v>
      </c>
      <c r="CF646" s="38"/>
    </row>
    <row r="647" spans="1:84" ht="71.25" hidden="1" customHeight="1">
      <c r="A647" s="1467"/>
      <c r="B647" s="22"/>
      <c r="C647" s="1685"/>
      <c r="D647" s="1685"/>
      <c r="E647" s="921">
        <v>45170</v>
      </c>
      <c r="F647" s="921"/>
      <c r="G647" s="925">
        <v>45076</v>
      </c>
      <c r="H647" s="1793"/>
      <c r="I647" s="331">
        <v>44902</v>
      </c>
      <c r="J647" s="331"/>
      <c r="K647" s="169">
        <v>2022</v>
      </c>
      <c r="L647" s="1446">
        <v>224012</v>
      </c>
      <c r="M647" s="1446"/>
      <c r="N647" s="170" t="s">
        <v>165</v>
      </c>
      <c r="O647" s="178" t="s">
        <v>4357</v>
      </c>
      <c r="P647" s="172" t="s">
        <v>78</v>
      </c>
      <c r="Q647" s="173" t="s">
        <v>4489</v>
      </c>
      <c r="R647" s="173" t="s">
        <v>1975</v>
      </c>
      <c r="S647" s="586">
        <v>85733.34</v>
      </c>
      <c r="T647" s="582">
        <v>44816</v>
      </c>
      <c r="U647" s="176">
        <v>44817</v>
      </c>
      <c r="V647" s="177">
        <v>44834</v>
      </c>
      <c r="W647" s="105">
        <v>44813</v>
      </c>
      <c r="X647" s="178" t="s">
        <v>4450</v>
      </c>
      <c r="Y647" s="170" t="s">
        <v>448</v>
      </c>
      <c r="Z647" s="201" t="s">
        <v>1427</v>
      </c>
      <c r="AA647" s="369" t="s">
        <v>5023</v>
      </c>
      <c r="AB647" s="33" t="s">
        <v>4531</v>
      </c>
      <c r="AC647" s="8">
        <v>44813</v>
      </c>
      <c r="AD647" s="79">
        <v>85733.34</v>
      </c>
      <c r="AE647" s="79"/>
      <c r="AF647" s="642"/>
      <c r="AG647" s="574" t="s">
        <v>67</v>
      </c>
      <c r="AH647" s="575" t="s">
        <v>67</v>
      </c>
      <c r="AI647" s="575" t="s">
        <v>67</v>
      </c>
      <c r="AJ647" s="576" t="s">
        <v>67</v>
      </c>
      <c r="AK647" s="573" t="s">
        <v>67</v>
      </c>
      <c r="AL647" s="33"/>
      <c r="AM647" s="1"/>
      <c r="AN647" s="5"/>
      <c r="AO647" s="1893" t="s">
        <v>73</v>
      </c>
      <c r="AP647" s="5"/>
      <c r="AQ647" s="1893"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62" t="str">
        <f t="shared" si="21"/>
        <v>GMJ 012 C-OP/2022</v>
      </c>
      <c r="BG647" s="5"/>
      <c r="BH647" s="5"/>
      <c r="BI647" s="5"/>
      <c r="BJ647" s="36">
        <f>AT647+AU647</f>
        <v>0</v>
      </c>
      <c r="BK647" s="1896" t="s">
        <v>73</v>
      </c>
      <c r="BL647" s="1896"/>
      <c r="BM647" s="70">
        <v>44816</v>
      </c>
      <c r="BN647" s="71">
        <v>44813</v>
      </c>
      <c r="BO647" s="71">
        <v>44816</v>
      </c>
      <c r="BP647" s="1895"/>
      <c r="BQ647" s="924">
        <v>44813</v>
      </c>
      <c r="BR647" s="924">
        <v>44813</v>
      </c>
      <c r="BS647" s="924">
        <v>44813</v>
      </c>
      <c r="BT647" s="924">
        <v>44828</v>
      </c>
      <c r="BU647" s="924">
        <v>44830</v>
      </c>
      <c r="BV647" s="1693"/>
      <c r="BW647" s="1695"/>
      <c r="BX647" s="13"/>
      <c r="BY647" s="158"/>
      <c r="BZ647" s="158"/>
      <c r="CA647" s="13"/>
      <c r="CB647" s="13"/>
      <c r="CC647" s="13"/>
      <c r="CD647" s="13"/>
      <c r="CE647" s="1246" t="s">
        <v>3947</v>
      </c>
      <c r="CF647" s="38"/>
    </row>
    <row r="648" spans="1:84" ht="158.25" hidden="1" customHeight="1">
      <c r="A648" s="1467"/>
      <c r="B648" s="22"/>
      <c r="C648" s="1685"/>
      <c r="D648" s="1685"/>
      <c r="E648" s="921">
        <v>45170</v>
      </c>
      <c r="F648" s="921"/>
      <c r="G648" s="925">
        <v>45076</v>
      </c>
      <c r="H648" s="1793"/>
      <c r="I648" s="331">
        <v>44904</v>
      </c>
      <c r="J648" s="331"/>
      <c r="K648" s="169">
        <v>2022</v>
      </c>
      <c r="L648" s="1446">
        <v>224013</v>
      </c>
      <c r="M648" s="1446"/>
      <c r="N648" s="170" t="s">
        <v>76</v>
      </c>
      <c r="O648" s="178" t="s">
        <v>4490</v>
      </c>
      <c r="P648" s="172" t="s">
        <v>3215</v>
      </c>
      <c r="Q648" s="173" t="s">
        <v>5964</v>
      </c>
      <c r="R648" s="173" t="s">
        <v>1975</v>
      </c>
      <c r="S648" s="586">
        <v>4165845.27</v>
      </c>
      <c r="T648" s="582">
        <v>44810</v>
      </c>
      <c r="U648" s="176">
        <v>44812</v>
      </c>
      <c r="V648" s="177">
        <v>44834</v>
      </c>
      <c r="W648" s="105" t="s">
        <v>1427</v>
      </c>
      <c r="X648" s="178" t="s">
        <v>4491</v>
      </c>
      <c r="Y648" s="170" t="s">
        <v>69</v>
      </c>
      <c r="Z648" s="1698">
        <v>44805</v>
      </c>
      <c r="AA648" s="369" t="s">
        <v>5024</v>
      </c>
      <c r="AB648" s="33" t="s">
        <v>4557</v>
      </c>
      <c r="AC648" s="8">
        <v>44813</v>
      </c>
      <c r="AD648" s="79">
        <v>4164845.27</v>
      </c>
      <c r="AE648" s="79"/>
      <c r="AF648" s="642"/>
      <c r="AG648" s="702">
        <v>44796</v>
      </c>
      <c r="AH648" s="180">
        <v>44798</v>
      </c>
      <c r="AI648" s="180">
        <v>44799</v>
      </c>
      <c r="AJ648" s="179">
        <v>44804</v>
      </c>
      <c r="AK648" s="676">
        <v>44796</v>
      </c>
      <c r="AL648" s="33" t="s">
        <v>4558</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62" t="s">
        <v>5025</v>
      </c>
      <c r="BG648" s="5">
        <v>44812</v>
      </c>
      <c r="BH648" s="5">
        <v>44834</v>
      </c>
      <c r="BI648" s="5">
        <v>44848</v>
      </c>
      <c r="BJ648" s="36">
        <f>AT648+AU648+0.01</f>
        <v>4491510.74</v>
      </c>
      <c r="BK648" s="68">
        <v>44848</v>
      </c>
      <c r="BL648" s="68"/>
      <c r="BM648" s="70">
        <v>44811</v>
      </c>
      <c r="BN648" s="71">
        <v>44811</v>
      </c>
      <c r="BO648" s="71">
        <v>44811</v>
      </c>
      <c r="BP648" s="1421"/>
      <c r="BQ648" s="1895" t="s">
        <v>73</v>
      </c>
      <c r="BR648" s="924">
        <v>44804</v>
      </c>
      <c r="BS648" s="924">
        <v>44804</v>
      </c>
      <c r="BT648" s="924">
        <v>44848</v>
      </c>
      <c r="BU648" s="924">
        <v>44848</v>
      </c>
      <c r="BV648" s="1693">
        <v>2</v>
      </c>
      <c r="BW648" s="1695">
        <v>2</v>
      </c>
      <c r="BX648" s="13"/>
      <c r="BY648" s="158"/>
      <c r="BZ648" s="158"/>
      <c r="CA648" s="13"/>
      <c r="CB648" s="13"/>
      <c r="CC648" s="13"/>
      <c r="CD648" s="13"/>
      <c r="CE648" s="1246" t="s">
        <v>3947</v>
      </c>
      <c r="CF648" s="38"/>
    </row>
    <row r="649" spans="1:84" ht="118.5" hidden="1" customHeight="1">
      <c r="A649" s="1467"/>
      <c r="B649" s="22"/>
      <c r="C649" s="1685"/>
      <c r="D649" s="1685"/>
      <c r="E649" s="921">
        <v>45170</v>
      </c>
      <c r="F649" s="921"/>
      <c r="G649" s="925">
        <v>45076</v>
      </c>
      <c r="H649" s="1793"/>
      <c r="I649" s="331">
        <v>45084</v>
      </c>
      <c r="J649" s="331"/>
      <c r="K649" s="169">
        <v>2022</v>
      </c>
      <c r="L649" s="1446">
        <v>224014</v>
      </c>
      <c r="M649" s="1446"/>
      <c r="N649" s="170" t="s">
        <v>76</v>
      </c>
      <c r="O649" s="178" t="s">
        <v>4521</v>
      </c>
      <c r="P649" s="172" t="s">
        <v>3215</v>
      </c>
      <c r="Q649" s="173" t="s">
        <v>4518</v>
      </c>
      <c r="R649" s="173" t="s">
        <v>4412</v>
      </c>
      <c r="S649" s="586">
        <v>4216204.78</v>
      </c>
      <c r="T649" s="582">
        <v>44839</v>
      </c>
      <c r="U649" s="176">
        <v>44847</v>
      </c>
      <c r="V649" s="177">
        <v>44895</v>
      </c>
      <c r="W649" s="105" t="s">
        <v>1427</v>
      </c>
      <c r="X649" s="178" t="s">
        <v>224</v>
      </c>
      <c r="Y649" s="170" t="s">
        <v>448</v>
      </c>
      <c r="Z649" s="201">
        <v>44841</v>
      </c>
      <c r="AA649" s="369" t="s">
        <v>5006</v>
      </c>
      <c r="AB649" s="33" t="s">
        <v>4532</v>
      </c>
      <c r="AC649" s="8">
        <v>44692</v>
      </c>
      <c r="AD649" s="79">
        <v>4500000</v>
      </c>
      <c r="AE649" s="79"/>
      <c r="AF649" s="642"/>
      <c r="AG649" s="702">
        <v>44830</v>
      </c>
      <c r="AH649" s="180">
        <v>44832</v>
      </c>
      <c r="AI649" s="180">
        <v>44832</v>
      </c>
      <c r="AJ649" s="179">
        <v>44837</v>
      </c>
      <c r="AK649" s="676">
        <v>44839</v>
      </c>
      <c r="AL649" s="33" t="s">
        <v>5026</v>
      </c>
      <c r="AM649" s="1" t="s">
        <v>5027</v>
      </c>
      <c r="AN649" s="5">
        <v>44839</v>
      </c>
      <c r="AO649" s="1" t="s">
        <v>5028</v>
      </c>
      <c r="AP649" s="5">
        <v>44839</v>
      </c>
      <c r="AQ649" s="1" t="s">
        <v>5029</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62" t="s">
        <v>5030</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93">
        <v>5</v>
      </c>
      <c r="BW649" s="1695">
        <v>0</v>
      </c>
      <c r="BX649" s="13"/>
      <c r="BY649" s="158"/>
      <c r="BZ649" s="158"/>
      <c r="CA649" s="13"/>
      <c r="CB649" s="13"/>
      <c r="CC649" s="13"/>
      <c r="CD649" s="13"/>
      <c r="CE649" s="1246" t="s">
        <v>3947</v>
      </c>
      <c r="CF649" s="38"/>
    </row>
    <row r="650" spans="1:84" ht="101.25" hidden="1" customHeight="1">
      <c r="A650" s="1467"/>
      <c r="B650" s="22"/>
      <c r="C650" s="1685">
        <v>45446</v>
      </c>
      <c r="D650" s="2014">
        <v>3</v>
      </c>
      <c r="E650" s="921">
        <v>45170</v>
      </c>
      <c r="F650" s="921"/>
      <c r="G650" s="925">
        <v>45071</v>
      </c>
      <c r="H650" s="1793"/>
      <c r="I650" s="331">
        <v>45084</v>
      </c>
      <c r="J650" s="331"/>
      <c r="K650" s="169">
        <v>2022</v>
      </c>
      <c r="L650" s="1446">
        <v>224015</v>
      </c>
      <c r="M650" s="1446"/>
      <c r="N650" s="170" t="s">
        <v>165</v>
      </c>
      <c r="O650" s="178" t="s">
        <v>4522</v>
      </c>
      <c r="P650" s="172" t="s">
        <v>3215</v>
      </c>
      <c r="Q650" s="173" t="s">
        <v>4517</v>
      </c>
      <c r="R650" s="173" t="s">
        <v>2541</v>
      </c>
      <c r="S650" s="586">
        <v>3845696.93</v>
      </c>
      <c r="T650" s="582">
        <v>44839</v>
      </c>
      <c r="U650" s="176">
        <v>44847</v>
      </c>
      <c r="V650" s="177">
        <v>44895</v>
      </c>
      <c r="W650" s="105" t="s">
        <v>1427</v>
      </c>
      <c r="X650" s="178" t="s">
        <v>2854</v>
      </c>
      <c r="Y650" s="170" t="s">
        <v>448</v>
      </c>
      <c r="Z650" s="201" t="s">
        <v>1427</v>
      </c>
      <c r="AA650" s="369"/>
      <c r="AB650" s="33" t="s">
        <v>4533</v>
      </c>
      <c r="AC650" s="8">
        <v>44862</v>
      </c>
      <c r="AD650" s="79">
        <v>3845696.93</v>
      </c>
      <c r="AE650" s="79"/>
      <c r="AF650" s="642"/>
      <c r="AG650" s="702">
        <v>44830</v>
      </c>
      <c r="AH650" s="180">
        <v>44832</v>
      </c>
      <c r="AI650" s="180">
        <v>44832</v>
      </c>
      <c r="AJ650" s="179">
        <v>44837</v>
      </c>
      <c r="AK650" s="676">
        <v>44839</v>
      </c>
      <c r="AL650" s="33" t="s">
        <v>5031</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62"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93">
        <v>1</v>
      </c>
      <c r="BW650" s="1695">
        <v>0</v>
      </c>
      <c r="BX650" s="13"/>
      <c r="BY650" s="158"/>
      <c r="BZ650" s="158"/>
      <c r="CA650" s="13"/>
      <c r="CB650" s="13"/>
      <c r="CC650" s="13"/>
      <c r="CD650" s="13"/>
      <c r="CE650" s="1246" t="s">
        <v>3947</v>
      </c>
      <c r="CF650" s="38"/>
    </row>
    <row r="651" spans="1:84" ht="99.75" hidden="1" customHeight="1">
      <c r="A651" s="1467"/>
      <c r="B651" s="22"/>
      <c r="C651" s="1685"/>
      <c r="D651" s="1685"/>
      <c r="E651" s="921">
        <v>44805</v>
      </c>
      <c r="F651" s="921"/>
      <c r="G651" s="925">
        <v>45070</v>
      </c>
      <c r="H651" s="1793"/>
      <c r="I651" s="331">
        <v>44902</v>
      </c>
      <c r="J651" s="331"/>
      <c r="K651" s="169">
        <v>2022</v>
      </c>
      <c r="L651" s="1446">
        <v>224016</v>
      </c>
      <c r="M651" s="1446"/>
      <c r="N651" s="170" t="s">
        <v>76</v>
      </c>
      <c r="O651" s="178" t="s">
        <v>4358</v>
      </c>
      <c r="P651" s="172" t="s">
        <v>78</v>
      </c>
      <c r="Q651" s="173" t="s">
        <v>4512</v>
      </c>
      <c r="R651" s="173" t="s">
        <v>2580</v>
      </c>
      <c r="S651" s="586">
        <v>645484.5</v>
      </c>
      <c r="T651" s="582">
        <v>44851</v>
      </c>
      <c r="U651" s="176">
        <v>44865</v>
      </c>
      <c r="V651" s="177">
        <v>44883</v>
      </c>
      <c r="W651" s="105">
        <v>44848</v>
      </c>
      <c r="X651" s="178" t="s">
        <v>2852</v>
      </c>
      <c r="Y651" s="170" t="s">
        <v>69</v>
      </c>
      <c r="Z651" s="201">
        <v>44823</v>
      </c>
      <c r="AA651" s="369" t="s">
        <v>5032</v>
      </c>
      <c r="AB651" s="33" t="s">
        <v>4534</v>
      </c>
      <c r="AC651" s="8">
        <v>44847</v>
      </c>
      <c r="AD651" s="79">
        <v>645484.5</v>
      </c>
      <c r="AE651" s="79"/>
      <c r="AF651" s="642"/>
      <c r="AG651" s="574" t="s">
        <v>67</v>
      </c>
      <c r="AH651" s="575" t="s">
        <v>67</v>
      </c>
      <c r="AI651" s="575" t="s">
        <v>67</v>
      </c>
      <c r="AJ651" s="576" t="s">
        <v>67</v>
      </c>
      <c r="AK651" s="573" t="s">
        <v>67</v>
      </c>
      <c r="AL651" s="115" t="s">
        <v>3558</v>
      </c>
      <c r="AM651" s="128" t="s">
        <v>4559</v>
      </c>
      <c r="AN651" s="71">
        <v>44868</v>
      </c>
      <c r="AO651" s="128" t="s">
        <v>4560</v>
      </c>
      <c r="AP651" s="71">
        <v>44865</v>
      </c>
      <c r="AQ651" s="128" t="s">
        <v>4992</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62"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93">
        <v>3</v>
      </c>
      <c r="BW651" s="1695">
        <v>0</v>
      </c>
      <c r="BX651" s="13"/>
      <c r="BY651" s="158"/>
      <c r="BZ651" s="158"/>
      <c r="CA651" s="13"/>
      <c r="CB651" s="13"/>
      <c r="CC651" s="13"/>
      <c r="CD651" s="13"/>
      <c r="CE651" s="1246" t="s">
        <v>3947</v>
      </c>
      <c r="CF651" s="38"/>
    </row>
    <row r="652" spans="1:84" ht="101.25" hidden="1" customHeight="1">
      <c r="A652" s="1467"/>
      <c r="B652" s="22"/>
      <c r="C652" s="1685"/>
      <c r="D652" s="1685"/>
      <c r="E652" s="921">
        <v>45170</v>
      </c>
      <c r="F652" s="921"/>
      <c r="G652" s="925">
        <v>45075</v>
      </c>
      <c r="H652" s="1793"/>
      <c r="I652" s="331">
        <v>45084</v>
      </c>
      <c r="J652" s="331"/>
      <c r="K652" s="169">
        <v>2022</v>
      </c>
      <c r="L652" s="1446">
        <v>224017</v>
      </c>
      <c r="M652" s="1446"/>
      <c r="N652" s="170" t="s">
        <v>76</v>
      </c>
      <c r="O652" s="178" t="s">
        <v>4519</v>
      </c>
      <c r="P652" s="172" t="s">
        <v>3215</v>
      </c>
      <c r="Q652" s="173" t="s">
        <v>4513</v>
      </c>
      <c r="R652" s="173" t="s">
        <v>1975</v>
      </c>
      <c r="S652" s="586">
        <v>2479806.63</v>
      </c>
      <c r="T652" s="582">
        <v>44859</v>
      </c>
      <c r="U652" s="176">
        <v>44862</v>
      </c>
      <c r="V652" s="177">
        <v>44898</v>
      </c>
      <c r="W652" s="105" t="s">
        <v>1427</v>
      </c>
      <c r="X652" s="178" t="s">
        <v>4514</v>
      </c>
      <c r="Y652" s="170" t="s">
        <v>69</v>
      </c>
      <c r="Z652" s="201">
        <v>44855</v>
      </c>
      <c r="AA652" s="369" t="s">
        <v>5032</v>
      </c>
      <c r="AB652" s="33" t="s">
        <v>4535</v>
      </c>
      <c r="AC652" s="8">
        <v>44847</v>
      </c>
      <c r="AD652" s="79">
        <v>2410639.29</v>
      </c>
      <c r="AE652" s="79"/>
      <c r="AF652" s="642"/>
      <c r="AG652" s="702">
        <v>44848</v>
      </c>
      <c r="AH652" s="180">
        <v>44851</v>
      </c>
      <c r="AI652" s="180">
        <v>44851</v>
      </c>
      <c r="AJ652" s="179">
        <v>44855</v>
      </c>
      <c r="AK652" s="676">
        <v>44858</v>
      </c>
      <c r="AL652" s="33" t="s">
        <v>5033</v>
      </c>
      <c r="AM652" s="2" t="s">
        <v>5034</v>
      </c>
      <c r="AN652" s="239">
        <v>44860</v>
      </c>
      <c r="AO652" s="2" t="s">
        <v>5035</v>
      </c>
      <c r="AP652" s="5">
        <v>44860</v>
      </c>
      <c r="AQ652" s="1893"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62"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95" t="s">
        <v>73</v>
      </c>
      <c r="BV652" s="1693">
        <v>0</v>
      </c>
      <c r="BW652" s="1695">
        <v>0</v>
      </c>
      <c r="BX652" s="13"/>
      <c r="BY652" s="158"/>
      <c r="BZ652" s="158"/>
      <c r="CA652" s="13"/>
      <c r="CB652" s="13"/>
      <c r="CC652" s="13"/>
      <c r="CD652" s="13"/>
      <c r="CE652" s="1246" t="s">
        <v>3947</v>
      </c>
      <c r="CF652" s="38"/>
    </row>
    <row r="653" spans="1:84" ht="141" hidden="1" customHeight="1">
      <c r="A653" s="1467"/>
      <c r="B653" s="22"/>
      <c r="C653" s="1685"/>
      <c r="D653" s="1685"/>
      <c r="E653" s="921">
        <v>45170</v>
      </c>
      <c r="F653" s="921"/>
      <c r="G653" s="925">
        <v>45065</v>
      </c>
      <c r="H653" s="1793"/>
      <c r="I653" s="331">
        <v>44904</v>
      </c>
      <c r="J653" s="331"/>
      <c r="K653" s="169">
        <v>2022</v>
      </c>
      <c r="L653" s="1446">
        <v>224018</v>
      </c>
      <c r="M653" s="1446"/>
      <c r="N653" s="170" t="s">
        <v>76</v>
      </c>
      <c r="O653" s="178" t="s">
        <v>4520</v>
      </c>
      <c r="P653" s="172" t="s">
        <v>3215</v>
      </c>
      <c r="Q653" s="173" t="s">
        <v>4515</v>
      </c>
      <c r="R653" s="173" t="s">
        <v>1975</v>
      </c>
      <c r="S653" s="586">
        <v>2218847.77</v>
      </c>
      <c r="T653" s="582">
        <v>44859</v>
      </c>
      <c r="U653" s="176">
        <v>44862</v>
      </c>
      <c r="V653" s="177">
        <v>44898</v>
      </c>
      <c r="W653" s="105" t="s">
        <v>1427</v>
      </c>
      <c r="X653" s="178" t="s">
        <v>4516</v>
      </c>
      <c r="Y653" s="170" t="s">
        <v>69</v>
      </c>
      <c r="Z653" s="1698">
        <v>44858</v>
      </c>
      <c r="AA653" s="369" t="s">
        <v>4993</v>
      </c>
      <c r="AB653" s="33" t="s">
        <v>4536</v>
      </c>
      <c r="AC653" s="8">
        <v>44847</v>
      </c>
      <c r="AD653" s="79">
        <v>2365630.4500000002</v>
      </c>
      <c r="AE653" s="79"/>
      <c r="AF653" s="642"/>
      <c r="AG653" s="702">
        <v>44848</v>
      </c>
      <c r="AH653" s="180">
        <v>44851</v>
      </c>
      <c r="AI653" s="180">
        <v>44851</v>
      </c>
      <c r="AJ653" s="179">
        <v>44855</v>
      </c>
      <c r="AK653" s="676">
        <v>44858</v>
      </c>
      <c r="AL653" s="115" t="s">
        <v>4556</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97">
        <v>44895</v>
      </c>
      <c r="BB653" s="5">
        <v>44862</v>
      </c>
      <c r="BC653" s="5">
        <v>44898</v>
      </c>
      <c r="BD653" s="11">
        <v>44898</v>
      </c>
      <c r="BE653" s="1897">
        <v>44895</v>
      </c>
      <c r="BF653" s="1662" t="str">
        <f>O653</f>
        <v>FAIS-RAMO/33-OP-CSS-018/2022</v>
      </c>
      <c r="BG653" s="5">
        <v>44862</v>
      </c>
      <c r="BH653" s="5">
        <v>44898</v>
      </c>
      <c r="BI653" s="5">
        <v>44898</v>
      </c>
      <c r="BJ653" s="36">
        <f>AT653+AU653</f>
        <v>2402556.7200000002</v>
      </c>
      <c r="BK653" s="1886">
        <v>44896</v>
      </c>
      <c r="BL653" s="1886"/>
      <c r="BM653" s="70">
        <v>44859</v>
      </c>
      <c r="BN653" s="71">
        <v>44862</v>
      </c>
      <c r="BO653" s="71">
        <v>44862</v>
      </c>
      <c r="BP653" s="1421"/>
      <c r="BQ653" s="1895" t="s">
        <v>73</v>
      </c>
      <c r="BR653" s="1895" t="s">
        <v>73</v>
      </c>
      <c r="BS653" s="1895" t="s">
        <v>73</v>
      </c>
      <c r="BT653" s="924">
        <v>44894</v>
      </c>
      <c r="BU653" s="1895" t="s">
        <v>73</v>
      </c>
      <c r="BV653" s="1693">
        <v>0</v>
      </c>
      <c r="BW653" s="1695">
        <v>0</v>
      </c>
      <c r="BX653" s="13"/>
      <c r="BY653" s="158"/>
      <c r="BZ653" s="158"/>
      <c r="CA653" s="13"/>
      <c r="CB653" s="13"/>
      <c r="CC653" s="13"/>
      <c r="CD653" s="13"/>
      <c r="CE653" s="1246" t="s">
        <v>3947</v>
      </c>
      <c r="CF653" s="38"/>
    </row>
    <row r="654" spans="1:84" ht="87.75" hidden="1" customHeight="1">
      <c r="A654" s="1467"/>
      <c r="B654" s="22"/>
      <c r="C654" s="1685"/>
      <c r="D654" s="1685"/>
      <c r="E654" s="921">
        <v>45170</v>
      </c>
      <c r="F654" s="921"/>
      <c r="G654" s="925">
        <v>45076</v>
      </c>
      <c r="H654" s="1793"/>
      <c r="I654" s="331">
        <v>45084</v>
      </c>
      <c r="J654" s="331"/>
      <c r="K654" s="169">
        <v>2022</v>
      </c>
      <c r="L654" s="1446">
        <v>224019</v>
      </c>
      <c r="M654" s="1446"/>
      <c r="N654" s="170" t="s">
        <v>76</v>
      </c>
      <c r="O654" s="178" t="s">
        <v>4359</v>
      </c>
      <c r="P654" s="172" t="s">
        <v>78</v>
      </c>
      <c r="Q654" s="173" t="s">
        <v>4523</v>
      </c>
      <c r="R654" s="173" t="s">
        <v>4412</v>
      </c>
      <c r="S654" s="586">
        <v>762057.5</v>
      </c>
      <c r="T654" s="582">
        <v>44872</v>
      </c>
      <c r="U654" s="176">
        <v>44889</v>
      </c>
      <c r="V654" s="177">
        <v>44900</v>
      </c>
      <c r="W654" s="105">
        <v>44869</v>
      </c>
      <c r="X654" s="178" t="s">
        <v>4450</v>
      </c>
      <c r="Y654" s="170" t="s">
        <v>69</v>
      </c>
      <c r="Z654" s="201">
        <v>44841</v>
      </c>
      <c r="AA654" s="369" t="s">
        <v>5006</v>
      </c>
      <c r="AB654" s="33" t="s">
        <v>4537</v>
      </c>
      <c r="AC654" s="8">
        <v>44847</v>
      </c>
      <c r="AD654" s="79">
        <v>1358473.54</v>
      </c>
      <c r="AE654" s="79"/>
      <c r="AF654" s="642"/>
      <c r="AG654" s="574" t="s">
        <v>67</v>
      </c>
      <c r="AH654" s="575" t="s">
        <v>67</v>
      </c>
      <c r="AI654" s="575" t="s">
        <v>67</v>
      </c>
      <c r="AJ654" s="576" t="s">
        <v>67</v>
      </c>
      <c r="AK654" s="573" t="s">
        <v>67</v>
      </c>
      <c r="AL654" s="33" t="s">
        <v>1341</v>
      </c>
      <c r="AM654" s="2" t="s">
        <v>5036</v>
      </c>
      <c r="AN654" s="239">
        <v>44887</v>
      </c>
      <c r="AO654" s="2" t="s">
        <v>5037</v>
      </c>
      <c r="AP654" s="239">
        <v>44887</v>
      </c>
      <c r="AQ654" s="2" t="s">
        <v>5038</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62" t="s">
        <v>5039</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95" t="s">
        <v>73</v>
      </c>
      <c r="BV654" s="1693">
        <v>0</v>
      </c>
      <c r="BW654" s="1695">
        <v>0</v>
      </c>
      <c r="BX654" s="13"/>
      <c r="BY654" s="158"/>
      <c r="BZ654" s="158"/>
      <c r="CA654" s="13"/>
      <c r="CB654" s="13"/>
      <c r="CC654" s="13"/>
      <c r="CD654" s="13"/>
      <c r="CE654" s="1246" t="s">
        <v>3947</v>
      </c>
      <c r="CF654" s="38"/>
    </row>
    <row r="655" spans="1:84" s="104" customFormat="1" ht="87.75" hidden="1" customHeight="1">
      <c r="A655"/>
      <c r="B655" s="81"/>
      <c r="C655" s="1687"/>
      <c r="D655" s="1687"/>
      <c r="E655" s="1009"/>
      <c r="F655" s="1009"/>
      <c r="G655" s="123"/>
      <c r="H655" s="1885"/>
      <c r="I655" s="612"/>
      <c r="J655" s="612"/>
      <c r="K655" s="1010">
        <v>2022</v>
      </c>
      <c r="L655" s="1446">
        <v>224020</v>
      </c>
      <c r="M655" s="1446"/>
      <c r="N655" s="613"/>
      <c r="O655" s="618" t="s">
        <v>4360</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74"/>
      <c r="BG655" s="88"/>
      <c r="BH655" s="88"/>
      <c r="BI655" s="88"/>
      <c r="BJ655" s="99"/>
      <c r="BK655" s="1741" t="s">
        <v>73</v>
      </c>
      <c r="BL655" s="1741"/>
      <c r="BM655" s="1742"/>
      <c r="BN655" s="1743"/>
      <c r="BO655" s="1743"/>
      <c r="BP655" s="1744"/>
      <c r="BQ655" s="1744"/>
      <c r="BR655" s="1744"/>
      <c r="BS655" s="1744"/>
      <c r="BT655" s="1744"/>
      <c r="BU655" s="1744"/>
      <c r="BV655" s="1744"/>
      <c r="BW655" s="1745"/>
      <c r="BX655" s="102" t="s">
        <v>250</v>
      </c>
      <c r="BY655" s="835"/>
      <c r="BZ655" s="835"/>
      <c r="CA655" s="102"/>
      <c r="CB655" s="102"/>
      <c r="CC655" s="102"/>
      <c r="CD655" s="102"/>
      <c r="CE655" s="1432" t="s">
        <v>3947</v>
      </c>
      <c r="CF655" s="864"/>
    </row>
    <row r="656" spans="1:84" ht="91.5" hidden="1" customHeight="1">
      <c r="A656" s="1467"/>
      <c r="B656" s="22"/>
      <c r="C656" s="1685"/>
      <c r="D656" s="1685"/>
      <c r="E656" s="921"/>
      <c r="F656" s="921"/>
      <c r="G656" s="925"/>
      <c r="H656" s="1793"/>
      <c r="I656" s="331"/>
      <c r="J656" s="331"/>
      <c r="K656" s="169">
        <v>2022</v>
      </c>
      <c r="L656" s="1446">
        <v>225003</v>
      </c>
      <c r="M656" s="1446"/>
      <c r="N656" s="170" t="s">
        <v>4872</v>
      </c>
      <c r="O656" s="178" t="s">
        <v>4873</v>
      </c>
      <c r="P656" s="172" t="s">
        <v>466</v>
      </c>
      <c r="Q656" s="173" t="s">
        <v>4875</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3947</v>
      </c>
      <c r="CF656" s="866"/>
    </row>
    <row r="657" spans="1:84" ht="87" hidden="1" customHeight="1">
      <c r="A657" s="1467"/>
      <c r="B657" s="22"/>
      <c r="C657" s="1685"/>
      <c r="D657" s="1685"/>
      <c r="E657" s="921"/>
      <c r="F657" s="921"/>
      <c r="G657" s="925"/>
      <c r="H657" s="1793"/>
      <c r="I657" s="331"/>
      <c r="J657" s="331"/>
      <c r="K657" s="169">
        <v>2022</v>
      </c>
      <c r="L657" s="1446">
        <v>225004</v>
      </c>
      <c r="M657" s="1446"/>
      <c r="N657" s="170" t="s">
        <v>4872</v>
      </c>
      <c r="O657" s="178" t="s">
        <v>4874</v>
      </c>
      <c r="P657" s="172" t="s">
        <v>466</v>
      </c>
      <c r="Q657" s="173" t="s">
        <v>4876</v>
      </c>
      <c r="R657" s="173" t="s">
        <v>4826</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3947</v>
      </c>
      <c r="CF657" s="866"/>
    </row>
    <row r="658" spans="1:84" ht="81" hidden="1" customHeight="1">
      <c r="A658" s="1467"/>
      <c r="B658" s="22"/>
      <c r="C658" s="122">
        <v>45446</v>
      </c>
      <c r="D658" s="22">
        <v>1</v>
      </c>
      <c r="E658" s="921"/>
      <c r="F658" s="921"/>
      <c r="G658" s="925"/>
      <c r="H658" s="1793" t="s">
        <v>6333</v>
      </c>
      <c r="I658" s="331">
        <v>45302</v>
      </c>
      <c r="J658" s="331"/>
      <c r="K658" s="169">
        <v>2023</v>
      </c>
      <c r="L658" s="1446">
        <v>231014</v>
      </c>
      <c r="M658" s="1446"/>
      <c r="N658" s="170" t="s">
        <v>866</v>
      </c>
      <c r="O658" s="178" t="s">
        <v>5647</v>
      </c>
      <c r="P658" s="172" t="s">
        <v>466</v>
      </c>
      <c r="Q658" s="173" t="s">
        <v>5648</v>
      </c>
      <c r="R658" s="173" t="s">
        <v>4412</v>
      </c>
      <c r="S658" s="174">
        <v>5000000</v>
      </c>
      <c r="T658" s="175">
        <v>45086</v>
      </c>
      <c r="U658" s="176">
        <v>45086</v>
      </c>
      <c r="V658" s="177">
        <v>45291</v>
      </c>
      <c r="W658" s="2021" t="s">
        <v>1427</v>
      </c>
      <c r="X658" s="1788" t="s">
        <v>67</v>
      </c>
      <c r="Y658" s="1789" t="s">
        <v>67</v>
      </c>
      <c r="Z658" s="1771" t="s">
        <v>67</v>
      </c>
      <c r="AA658" s="1772" t="s">
        <v>67</v>
      </c>
      <c r="AB658" s="33"/>
      <c r="AC658" s="8"/>
      <c r="AD658" s="4"/>
      <c r="AE658" s="4"/>
      <c r="AF658" s="32"/>
      <c r="AG658" s="1773" t="s">
        <v>67</v>
      </c>
      <c r="AH658" s="1774" t="s">
        <v>67</v>
      </c>
      <c r="AI658" s="1774" t="s">
        <v>67</v>
      </c>
      <c r="AJ658" s="1775" t="s">
        <v>67</v>
      </c>
      <c r="AK658" s="1776" t="s">
        <v>67</v>
      </c>
      <c r="AL658" s="1777" t="s">
        <v>67</v>
      </c>
      <c r="AM658" s="1680" t="s">
        <v>67</v>
      </c>
      <c r="AN658" s="1704"/>
      <c r="AO658" s="1680" t="s">
        <v>67</v>
      </c>
      <c r="AP658" s="1704"/>
      <c r="AQ658" s="1680" t="s">
        <v>67</v>
      </c>
      <c r="AR658" s="1704"/>
      <c r="AS658" s="1778"/>
      <c r="AT658" s="1779">
        <v>0</v>
      </c>
      <c r="AU658" s="1780">
        <v>0</v>
      </c>
      <c r="AV658" s="1781">
        <v>0</v>
      </c>
      <c r="AW658" s="1782" t="s">
        <v>67</v>
      </c>
      <c r="AX658" s="1701" t="s">
        <v>67</v>
      </c>
      <c r="AY658" s="1702" t="s">
        <v>67</v>
      </c>
      <c r="AZ658" s="1703" t="s">
        <v>67</v>
      </c>
      <c r="BA658" s="1782" t="s">
        <v>67</v>
      </c>
      <c r="BB658" s="1704"/>
      <c r="BC658" s="1704"/>
      <c r="BD658" s="1701"/>
      <c r="BE658" s="1782" t="s">
        <v>67</v>
      </c>
      <c r="BF658" s="1783" t="s">
        <v>67</v>
      </c>
      <c r="BG658" s="1704"/>
      <c r="BH658" s="1704"/>
      <c r="BI658" s="1704"/>
      <c r="BJ658" s="1706"/>
      <c r="BK658" s="1784" t="s">
        <v>67</v>
      </c>
      <c r="BL658" s="1139"/>
      <c r="BM658" s="1785" t="s">
        <v>67</v>
      </c>
      <c r="BN658" s="1786" t="s">
        <v>67</v>
      </c>
      <c r="BO658" s="1786" t="s">
        <v>67</v>
      </c>
      <c r="BP658" s="1787" t="s">
        <v>67</v>
      </c>
      <c r="BQ658" s="1787" t="s">
        <v>67</v>
      </c>
      <c r="BR658" s="1787" t="s">
        <v>67</v>
      </c>
      <c r="BS658" s="1787" t="s">
        <v>67</v>
      </c>
      <c r="BT658" s="1787" t="s">
        <v>67</v>
      </c>
      <c r="BU658" s="1787" t="s">
        <v>67</v>
      </c>
      <c r="BV658" s="1787" t="s">
        <v>67</v>
      </c>
      <c r="BW658" s="1785" t="s">
        <v>67</v>
      </c>
      <c r="BX658" s="13"/>
      <c r="BY658" s="22"/>
      <c r="BZ658" s="22"/>
      <c r="CA658" s="22"/>
      <c r="CB658" s="22"/>
      <c r="CC658" s="22"/>
      <c r="CD658" s="22"/>
      <c r="CE658" s="1246" t="s">
        <v>3947</v>
      </c>
      <c r="CF658" s="866"/>
    </row>
    <row r="659" spans="1:84" ht="84" hidden="1" customHeight="1">
      <c r="A659" s="1467"/>
      <c r="B659" s="22"/>
      <c r="C659" s="122"/>
      <c r="D659" s="22"/>
      <c r="E659" s="921"/>
      <c r="F659" s="921"/>
      <c r="G659" s="925"/>
      <c r="H659" s="1793" t="s">
        <v>6333</v>
      </c>
      <c r="I659" s="331"/>
      <c r="J659" s="331"/>
      <c r="K659" s="169">
        <v>2023</v>
      </c>
      <c r="L659" s="1446">
        <v>231021</v>
      </c>
      <c r="M659" s="1446"/>
      <c r="N659" s="170" t="s">
        <v>4872</v>
      </c>
      <c r="O659" s="178" t="s">
        <v>5649</v>
      </c>
      <c r="P659" s="172" t="s">
        <v>466</v>
      </c>
      <c r="Q659" s="173" t="s">
        <v>5650</v>
      </c>
      <c r="R659" s="173" t="s">
        <v>4412</v>
      </c>
      <c r="S659" s="174">
        <v>4000000</v>
      </c>
      <c r="T659" s="175">
        <v>45153</v>
      </c>
      <c r="U659" s="176">
        <v>45153</v>
      </c>
      <c r="V659" s="177">
        <v>45565</v>
      </c>
      <c r="W659" s="2021" t="s">
        <v>1427</v>
      </c>
      <c r="X659" s="1788" t="s">
        <v>67</v>
      </c>
      <c r="Y659" s="1789" t="s">
        <v>67</v>
      </c>
      <c r="Z659" s="1771" t="s">
        <v>67</v>
      </c>
      <c r="AA659" s="1772" t="s">
        <v>67</v>
      </c>
      <c r="AB659" s="33"/>
      <c r="AC659" s="8"/>
      <c r="AD659" s="4"/>
      <c r="AE659" s="4"/>
      <c r="AF659" s="32"/>
      <c r="AG659" s="1773" t="s">
        <v>67</v>
      </c>
      <c r="AH659" s="1774" t="s">
        <v>67</v>
      </c>
      <c r="AI659" s="1774" t="s">
        <v>67</v>
      </c>
      <c r="AJ659" s="1775" t="s">
        <v>67</v>
      </c>
      <c r="AK659" s="1776" t="s">
        <v>67</v>
      </c>
      <c r="AL659" s="1777" t="s">
        <v>67</v>
      </c>
      <c r="AM659" s="1680" t="s">
        <v>67</v>
      </c>
      <c r="AN659" s="1704"/>
      <c r="AO659" s="1680" t="s">
        <v>67</v>
      </c>
      <c r="AP659" s="1704"/>
      <c r="AQ659" s="1680" t="s">
        <v>67</v>
      </c>
      <c r="AR659" s="1704"/>
      <c r="AS659" s="1778"/>
      <c r="AT659" s="1779">
        <v>0</v>
      </c>
      <c r="AU659" s="1780">
        <v>0</v>
      </c>
      <c r="AV659" s="1781">
        <v>0</v>
      </c>
      <c r="AW659" s="1782" t="s">
        <v>67</v>
      </c>
      <c r="AX659" s="1701" t="s">
        <v>67</v>
      </c>
      <c r="AY659" s="1702" t="s">
        <v>67</v>
      </c>
      <c r="AZ659" s="1703" t="s">
        <v>67</v>
      </c>
      <c r="BA659" s="1782" t="s">
        <v>67</v>
      </c>
      <c r="BB659" s="1704"/>
      <c r="BC659" s="1704"/>
      <c r="BD659" s="1701"/>
      <c r="BE659" s="1782" t="s">
        <v>67</v>
      </c>
      <c r="BF659" s="1783" t="s">
        <v>67</v>
      </c>
      <c r="BG659" s="1704"/>
      <c r="BH659" s="1704"/>
      <c r="BI659" s="1704"/>
      <c r="BJ659" s="1706"/>
      <c r="BK659" s="1784" t="s">
        <v>67</v>
      </c>
      <c r="BL659" s="1139"/>
      <c r="BM659" s="1785" t="s">
        <v>67</v>
      </c>
      <c r="BN659" s="1786" t="s">
        <v>67</v>
      </c>
      <c r="BO659" s="1786" t="s">
        <v>67</v>
      </c>
      <c r="BP659" s="1787" t="s">
        <v>67</v>
      </c>
      <c r="BQ659" s="1787" t="s">
        <v>67</v>
      </c>
      <c r="BR659" s="1787" t="s">
        <v>67</v>
      </c>
      <c r="BS659" s="1787" t="s">
        <v>67</v>
      </c>
      <c r="BT659" s="1787" t="s">
        <v>67</v>
      </c>
      <c r="BU659" s="1787" t="s">
        <v>67</v>
      </c>
      <c r="BV659" s="1787" t="s">
        <v>67</v>
      </c>
      <c r="BW659" s="1785" t="s">
        <v>67</v>
      </c>
      <c r="BX659" s="13"/>
      <c r="BY659" s="22"/>
      <c r="BZ659" s="22"/>
      <c r="CA659" s="22"/>
      <c r="CB659" s="22"/>
      <c r="CC659" s="22"/>
      <c r="CD659" s="22"/>
      <c r="CE659" s="1246" t="s">
        <v>3947</v>
      </c>
      <c r="CF659" s="866"/>
    </row>
    <row r="660" spans="1:84" ht="75.75" hidden="1" customHeight="1">
      <c r="A660" s="1467"/>
      <c r="B660" s="22"/>
      <c r="C660" s="122"/>
      <c r="D660" s="22"/>
      <c r="E660" s="921"/>
      <c r="F660" s="921"/>
      <c r="G660" s="925"/>
      <c r="H660" s="1793" t="s">
        <v>6333</v>
      </c>
      <c r="I660" s="331"/>
      <c r="J660" s="331"/>
      <c r="K660" s="169">
        <v>2023</v>
      </c>
      <c r="L660" s="1446">
        <v>231022</v>
      </c>
      <c r="M660" s="1446"/>
      <c r="N660" s="170" t="s">
        <v>4872</v>
      </c>
      <c r="O660" s="178" t="s">
        <v>5651</v>
      </c>
      <c r="P660" s="172" t="s">
        <v>466</v>
      </c>
      <c r="Q660" s="173" t="s">
        <v>5652</v>
      </c>
      <c r="R660" s="173" t="s">
        <v>1975</v>
      </c>
      <c r="S660" s="174">
        <v>4000000</v>
      </c>
      <c r="T660" s="175">
        <v>45153</v>
      </c>
      <c r="U660" s="176">
        <v>45153</v>
      </c>
      <c r="V660" s="177">
        <v>45565</v>
      </c>
      <c r="W660" s="2021" t="s">
        <v>1427</v>
      </c>
      <c r="X660" s="1788" t="s">
        <v>67</v>
      </c>
      <c r="Y660" s="1789" t="s">
        <v>67</v>
      </c>
      <c r="Z660" s="1771" t="s">
        <v>67</v>
      </c>
      <c r="AA660" s="1772" t="s">
        <v>67</v>
      </c>
      <c r="AB660" s="33"/>
      <c r="AC660" s="8"/>
      <c r="AD660" s="4"/>
      <c r="AE660" s="4"/>
      <c r="AF660" s="32"/>
      <c r="AG660" s="1773" t="s">
        <v>67</v>
      </c>
      <c r="AH660" s="1774" t="s">
        <v>67</v>
      </c>
      <c r="AI660" s="1774" t="s">
        <v>67</v>
      </c>
      <c r="AJ660" s="1775" t="s">
        <v>67</v>
      </c>
      <c r="AK660" s="1776" t="s">
        <v>67</v>
      </c>
      <c r="AL660" s="1777" t="s">
        <v>67</v>
      </c>
      <c r="AM660" s="1680" t="s">
        <v>67</v>
      </c>
      <c r="AN660" s="1704"/>
      <c r="AO660" s="1680" t="s">
        <v>67</v>
      </c>
      <c r="AP660" s="1704"/>
      <c r="AQ660" s="1680" t="s">
        <v>67</v>
      </c>
      <c r="AR660" s="1704"/>
      <c r="AS660" s="1778"/>
      <c r="AT660" s="1779">
        <v>0</v>
      </c>
      <c r="AU660" s="1780">
        <v>0</v>
      </c>
      <c r="AV660" s="1781">
        <v>0</v>
      </c>
      <c r="AW660" s="1782" t="s">
        <v>67</v>
      </c>
      <c r="AX660" s="1701" t="s">
        <v>67</v>
      </c>
      <c r="AY660" s="1702" t="s">
        <v>67</v>
      </c>
      <c r="AZ660" s="1703" t="s">
        <v>67</v>
      </c>
      <c r="BA660" s="1782" t="s">
        <v>67</v>
      </c>
      <c r="BB660" s="1704"/>
      <c r="BC660" s="1704"/>
      <c r="BD660" s="1701"/>
      <c r="BE660" s="1782" t="s">
        <v>67</v>
      </c>
      <c r="BF660" s="1783" t="s">
        <v>67</v>
      </c>
      <c r="BG660" s="1704"/>
      <c r="BH660" s="1704"/>
      <c r="BI660" s="1704"/>
      <c r="BJ660" s="1706"/>
      <c r="BK660" s="1784" t="s">
        <v>67</v>
      </c>
      <c r="BL660" s="1139"/>
      <c r="BM660" s="1785" t="s">
        <v>67</v>
      </c>
      <c r="BN660" s="1786" t="s">
        <v>67</v>
      </c>
      <c r="BO660" s="1786" t="s">
        <v>67</v>
      </c>
      <c r="BP660" s="1787" t="s">
        <v>67</v>
      </c>
      <c r="BQ660" s="1787" t="s">
        <v>67</v>
      </c>
      <c r="BR660" s="1787" t="s">
        <v>67</v>
      </c>
      <c r="BS660" s="1787" t="s">
        <v>67</v>
      </c>
      <c r="BT660" s="1787" t="s">
        <v>67</v>
      </c>
      <c r="BU660" s="1787" t="s">
        <v>67</v>
      </c>
      <c r="BV660" s="1787" t="s">
        <v>67</v>
      </c>
      <c r="BW660" s="1785" t="s">
        <v>67</v>
      </c>
      <c r="BX660" s="13"/>
      <c r="BY660" s="22"/>
      <c r="BZ660" s="22"/>
      <c r="CA660" s="22"/>
      <c r="CB660" s="22"/>
      <c r="CC660" s="22"/>
      <c r="CD660" s="22"/>
      <c r="CE660" s="1246" t="s">
        <v>3947</v>
      </c>
      <c r="CF660" s="866"/>
    </row>
    <row r="661" spans="1:84" ht="134.25" hidden="1" customHeight="1">
      <c r="A661" s="1467"/>
      <c r="B661" s="22"/>
      <c r="C661" s="122"/>
      <c r="D661" s="22"/>
      <c r="E661" s="921"/>
      <c r="F661" s="921"/>
      <c r="G661" s="925"/>
      <c r="H661" s="1793" t="s">
        <v>6333</v>
      </c>
      <c r="I661" s="331">
        <v>44999</v>
      </c>
      <c r="J661" s="331"/>
      <c r="K661" s="169">
        <v>2023</v>
      </c>
      <c r="L661" s="1446">
        <v>232001</v>
      </c>
      <c r="M661" s="1446"/>
      <c r="N661" s="170" t="s">
        <v>165</v>
      </c>
      <c r="O661" s="178" t="s">
        <v>4842</v>
      </c>
      <c r="P661" s="172" t="s">
        <v>45</v>
      </c>
      <c r="Q661" s="173" t="s">
        <v>4852</v>
      </c>
      <c r="R661" s="173" t="s">
        <v>4412</v>
      </c>
      <c r="S661" s="174">
        <f>15000*1.16</f>
        <v>17400</v>
      </c>
      <c r="T661" s="175">
        <v>44928</v>
      </c>
      <c r="U661" s="176">
        <v>44929</v>
      </c>
      <c r="V661" s="177">
        <v>44931</v>
      </c>
      <c r="W661" s="105" t="s">
        <v>67</v>
      </c>
      <c r="X661" s="178" t="s">
        <v>4363</v>
      </c>
      <c r="Y661" s="170" t="s">
        <v>471</v>
      </c>
      <c r="Z661" s="1771" t="s">
        <v>67</v>
      </c>
      <c r="AA661" s="1772" t="s">
        <v>67</v>
      </c>
      <c r="AB661" s="33"/>
      <c r="AC661" s="8"/>
      <c r="AD661" s="4"/>
      <c r="AE661" s="4"/>
      <c r="AF661" s="32"/>
      <c r="AG661" s="1773" t="s">
        <v>67</v>
      </c>
      <c r="AH661" s="1774" t="s">
        <v>67</v>
      </c>
      <c r="AI661" s="1774" t="s">
        <v>67</v>
      </c>
      <c r="AJ661" s="1775" t="s">
        <v>67</v>
      </c>
      <c r="AK661" s="1776" t="s">
        <v>67</v>
      </c>
      <c r="AL661" s="1777" t="s">
        <v>67</v>
      </c>
      <c r="AM661" s="1680" t="s">
        <v>67</v>
      </c>
      <c r="AN661" s="1704"/>
      <c r="AO661" s="1680" t="s">
        <v>67</v>
      </c>
      <c r="AP661" s="1704"/>
      <c r="AQ661" s="1680" t="s">
        <v>67</v>
      </c>
      <c r="AR661" s="1704"/>
      <c r="AS661" s="1778"/>
      <c r="AT661" s="1779">
        <v>0</v>
      </c>
      <c r="AU661" s="1780">
        <v>0</v>
      </c>
      <c r="AV661" s="1781">
        <v>0</v>
      </c>
      <c r="AW661" s="1782" t="s">
        <v>67</v>
      </c>
      <c r="AX661" s="1701" t="s">
        <v>67</v>
      </c>
      <c r="AY661" s="1702" t="s">
        <v>67</v>
      </c>
      <c r="AZ661" s="1703" t="s">
        <v>67</v>
      </c>
      <c r="BA661" s="30" t="s">
        <v>67</v>
      </c>
      <c r="BB661" s="5"/>
      <c r="BC661" s="5"/>
      <c r="BD661" s="11"/>
      <c r="BE661" s="30" t="s">
        <v>67</v>
      </c>
      <c r="BF661" s="310"/>
      <c r="BG661" s="5"/>
      <c r="BH661" s="5"/>
      <c r="BI661" s="5"/>
      <c r="BJ661" s="36"/>
      <c r="BK661" s="1784" t="s">
        <v>67</v>
      </c>
      <c r="BL661" s="1139"/>
      <c r="BM661" s="1785" t="s">
        <v>67</v>
      </c>
      <c r="BN661" s="1786" t="s">
        <v>67</v>
      </c>
      <c r="BO661" s="1786" t="s">
        <v>67</v>
      </c>
      <c r="BP661" s="1787" t="s">
        <v>67</v>
      </c>
      <c r="BQ661" s="1787" t="s">
        <v>67</v>
      </c>
      <c r="BR661" s="1787" t="s">
        <v>67</v>
      </c>
      <c r="BS661" s="1787" t="s">
        <v>67</v>
      </c>
      <c r="BT661" s="1787" t="s">
        <v>67</v>
      </c>
      <c r="BU661" s="1787" t="s">
        <v>67</v>
      </c>
      <c r="BV661" s="1787" t="s">
        <v>67</v>
      </c>
      <c r="BW661" s="1785" t="s">
        <v>67</v>
      </c>
      <c r="BX661" s="13"/>
      <c r="BY661" s="22"/>
      <c r="BZ661" s="22"/>
      <c r="CA661" s="22"/>
      <c r="CB661" s="22"/>
      <c r="CC661" s="22"/>
      <c r="CD661" s="22"/>
      <c r="CE661" s="1246" t="s">
        <v>3947</v>
      </c>
      <c r="CF661" s="866"/>
    </row>
    <row r="662" spans="1:84" ht="130.5" hidden="1" customHeight="1">
      <c r="A662" s="1467"/>
      <c r="B662" s="22"/>
      <c r="C662" s="122"/>
      <c r="D662" s="22"/>
      <c r="E662" s="921"/>
      <c r="F662" s="921"/>
      <c r="G662" s="925"/>
      <c r="H662" s="1793" t="s">
        <v>6333</v>
      </c>
      <c r="I662" s="331">
        <v>44999</v>
      </c>
      <c r="J662" s="331"/>
      <c r="K662" s="169">
        <v>2023</v>
      </c>
      <c r="L662" s="1446">
        <v>232002</v>
      </c>
      <c r="M662" s="1446"/>
      <c r="N662" s="170" t="s">
        <v>165</v>
      </c>
      <c r="O662" s="178" t="s">
        <v>4843</v>
      </c>
      <c r="P662" s="172" t="s">
        <v>45</v>
      </c>
      <c r="Q662" s="173" t="s">
        <v>4853</v>
      </c>
      <c r="R662" s="173" t="s">
        <v>4827</v>
      </c>
      <c r="S662" s="174">
        <f>15000*1.16</f>
        <v>17400</v>
      </c>
      <c r="T662" s="175">
        <v>44928</v>
      </c>
      <c r="U662" s="176">
        <v>44931</v>
      </c>
      <c r="V662" s="177">
        <v>44932</v>
      </c>
      <c r="W662" s="105" t="s">
        <v>67</v>
      </c>
      <c r="X662" s="178" t="s">
        <v>4363</v>
      </c>
      <c r="Y662" s="170" t="s">
        <v>471</v>
      </c>
      <c r="Z662" s="1771" t="s">
        <v>67</v>
      </c>
      <c r="AA662" s="1772" t="s">
        <v>67</v>
      </c>
      <c r="AB662" s="33"/>
      <c r="AC662" s="8"/>
      <c r="AD662" s="4"/>
      <c r="AE662" s="4"/>
      <c r="AF662" s="32"/>
      <c r="AG662" s="1773" t="s">
        <v>67</v>
      </c>
      <c r="AH662" s="1774" t="s">
        <v>67</v>
      </c>
      <c r="AI662" s="1774" t="s">
        <v>67</v>
      </c>
      <c r="AJ662" s="1775" t="s">
        <v>67</v>
      </c>
      <c r="AK662" s="1776" t="s">
        <v>67</v>
      </c>
      <c r="AL662" s="1777" t="s">
        <v>67</v>
      </c>
      <c r="AM662" s="1680" t="s">
        <v>67</v>
      </c>
      <c r="AN662" s="1704"/>
      <c r="AO662" s="1680" t="s">
        <v>67</v>
      </c>
      <c r="AP662" s="1704"/>
      <c r="AQ662" s="1680" t="s">
        <v>67</v>
      </c>
      <c r="AR662" s="1704"/>
      <c r="AS662" s="1778"/>
      <c r="AT662" s="1779">
        <v>0</v>
      </c>
      <c r="AU662" s="1780">
        <v>0</v>
      </c>
      <c r="AV662" s="1781">
        <v>0</v>
      </c>
      <c r="AW662" s="1782" t="s">
        <v>67</v>
      </c>
      <c r="AX662" s="1701" t="s">
        <v>67</v>
      </c>
      <c r="AY662" s="1702" t="s">
        <v>67</v>
      </c>
      <c r="AZ662" s="1703" t="s">
        <v>67</v>
      </c>
      <c r="BA662" s="30" t="s">
        <v>67</v>
      </c>
      <c r="BB662" s="5"/>
      <c r="BC662" s="5"/>
      <c r="BD662" s="11"/>
      <c r="BE662" s="30" t="s">
        <v>67</v>
      </c>
      <c r="BF662" s="310"/>
      <c r="BG662" s="5"/>
      <c r="BH662" s="5"/>
      <c r="BI662" s="5"/>
      <c r="BJ662" s="36"/>
      <c r="BK662" s="1784" t="s">
        <v>67</v>
      </c>
      <c r="BL662" s="1139"/>
      <c r="BM662" s="1785" t="s">
        <v>67</v>
      </c>
      <c r="BN662" s="1786" t="s">
        <v>67</v>
      </c>
      <c r="BO662" s="1786" t="s">
        <v>67</v>
      </c>
      <c r="BP662" s="1787" t="s">
        <v>67</v>
      </c>
      <c r="BQ662" s="1787" t="s">
        <v>67</v>
      </c>
      <c r="BR662" s="1787" t="s">
        <v>67</v>
      </c>
      <c r="BS662" s="1787" t="s">
        <v>67</v>
      </c>
      <c r="BT662" s="1787" t="s">
        <v>67</v>
      </c>
      <c r="BU662" s="1787" t="s">
        <v>67</v>
      </c>
      <c r="BV662" s="1787" t="s">
        <v>67</v>
      </c>
      <c r="BW662" s="1785" t="s">
        <v>67</v>
      </c>
      <c r="BX662" s="13"/>
      <c r="BY662" s="22"/>
      <c r="BZ662" s="22"/>
      <c r="CA662" s="22"/>
      <c r="CB662" s="22"/>
      <c r="CC662" s="22"/>
      <c r="CD662" s="22"/>
      <c r="CE662" s="1246" t="s">
        <v>3947</v>
      </c>
      <c r="CF662" s="866"/>
    </row>
    <row r="663" spans="1:84" ht="123" hidden="1" customHeight="1">
      <c r="A663" s="1467"/>
      <c r="B663" s="22"/>
      <c r="C663" s="122"/>
      <c r="D663" s="22"/>
      <c r="E663" s="921"/>
      <c r="F663" s="921"/>
      <c r="G663" s="925"/>
      <c r="H663" s="1793" t="s">
        <v>6333</v>
      </c>
      <c r="I663" s="331">
        <v>44999</v>
      </c>
      <c r="J663" s="331"/>
      <c r="K663" s="169">
        <v>2023</v>
      </c>
      <c r="L663" s="1446">
        <v>232003</v>
      </c>
      <c r="M663" s="1446"/>
      <c r="N663" s="170" t="s">
        <v>165</v>
      </c>
      <c r="O663" s="178" t="s">
        <v>4844</v>
      </c>
      <c r="P663" s="172" t="s">
        <v>45</v>
      </c>
      <c r="Q663" s="173" t="s">
        <v>4854</v>
      </c>
      <c r="R663" s="173" t="s">
        <v>4827</v>
      </c>
      <c r="S663" s="174">
        <f>15000*1.16</f>
        <v>17400</v>
      </c>
      <c r="T663" s="175">
        <v>44928</v>
      </c>
      <c r="U663" s="176">
        <v>44928</v>
      </c>
      <c r="V663" s="177">
        <v>44957</v>
      </c>
      <c r="W663" s="105" t="s">
        <v>67</v>
      </c>
      <c r="X663" s="178" t="s">
        <v>4363</v>
      </c>
      <c r="Y663" s="170" t="s">
        <v>471</v>
      </c>
      <c r="Z663" s="1771" t="s">
        <v>67</v>
      </c>
      <c r="AA663" s="1772" t="s">
        <v>67</v>
      </c>
      <c r="AB663" s="33"/>
      <c r="AC663" s="8"/>
      <c r="AD663" s="4"/>
      <c r="AE663" s="4"/>
      <c r="AF663" s="32"/>
      <c r="AG663" s="1773" t="s">
        <v>67</v>
      </c>
      <c r="AH663" s="1774" t="s">
        <v>67</v>
      </c>
      <c r="AI663" s="1774" t="s">
        <v>67</v>
      </c>
      <c r="AJ663" s="1775" t="s">
        <v>67</v>
      </c>
      <c r="AK663" s="1776" t="s">
        <v>67</v>
      </c>
      <c r="AL663" s="1777" t="s">
        <v>67</v>
      </c>
      <c r="AM663" s="1680" t="s">
        <v>67</v>
      </c>
      <c r="AN663" s="1704"/>
      <c r="AO663" s="1680" t="s">
        <v>67</v>
      </c>
      <c r="AP663" s="1704"/>
      <c r="AQ663" s="1680" t="s">
        <v>67</v>
      </c>
      <c r="AR663" s="1704"/>
      <c r="AS663" s="1778"/>
      <c r="AT663" s="1779">
        <v>0</v>
      </c>
      <c r="AU663" s="1780">
        <v>0</v>
      </c>
      <c r="AV663" s="1781">
        <v>0</v>
      </c>
      <c r="AW663" s="1782" t="s">
        <v>67</v>
      </c>
      <c r="AX663" s="1701" t="s">
        <v>67</v>
      </c>
      <c r="AY663" s="1702" t="s">
        <v>67</v>
      </c>
      <c r="AZ663" s="1703" t="s">
        <v>67</v>
      </c>
      <c r="BA663" s="30" t="s">
        <v>67</v>
      </c>
      <c r="BB663" s="5"/>
      <c r="BC663" s="5"/>
      <c r="BD663" s="11"/>
      <c r="BE663" s="30" t="s">
        <v>67</v>
      </c>
      <c r="BF663" s="310"/>
      <c r="BG663" s="5"/>
      <c r="BH663" s="5"/>
      <c r="BI663" s="5"/>
      <c r="BJ663" s="36"/>
      <c r="BK663" s="1784" t="s">
        <v>67</v>
      </c>
      <c r="BL663" s="1139"/>
      <c r="BM663" s="1785" t="s">
        <v>67</v>
      </c>
      <c r="BN663" s="1786" t="s">
        <v>67</v>
      </c>
      <c r="BO663" s="1786" t="s">
        <v>67</v>
      </c>
      <c r="BP663" s="1787" t="s">
        <v>67</v>
      </c>
      <c r="BQ663" s="1787" t="s">
        <v>67</v>
      </c>
      <c r="BR663" s="1787" t="s">
        <v>67</v>
      </c>
      <c r="BS663" s="1787" t="s">
        <v>67</v>
      </c>
      <c r="BT663" s="1787" t="s">
        <v>67</v>
      </c>
      <c r="BU663" s="1787" t="s">
        <v>67</v>
      </c>
      <c r="BV663" s="1787" t="s">
        <v>67</v>
      </c>
      <c r="BW663" s="1785" t="s">
        <v>67</v>
      </c>
      <c r="BX663" s="13"/>
      <c r="BY663" s="22"/>
      <c r="BZ663" s="22"/>
      <c r="CA663" s="22"/>
      <c r="CB663" s="22"/>
      <c r="CC663" s="22"/>
      <c r="CD663" s="22"/>
      <c r="CE663" s="1246" t="s">
        <v>3947</v>
      </c>
      <c r="CF663" s="866"/>
    </row>
    <row r="664" spans="1:84" ht="99" hidden="1" customHeight="1">
      <c r="A664" s="1467"/>
      <c r="B664" s="22"/>
      <c r="C664" s="122"/>
      <c r="D664" s="22"/>
      <c r="E664" s="921"/>
      <c r="F664" s="921"/>
      <c r="G664" s="925"/>
      <c r="H664" s="1793" t="s">
        <v>6333</v>
      </c>
      <c r="I664" s="331">
        <v>44999</v>
      </c>
      <c r="J664" s="331"/>
      <c r="K664" s="169">
        <v>2023</v>
      </c>
      <c r="L664" s="1446">
        <v>232004</v>
      </c>
      <c r="M664" s="1446"/>
      <c r="N664" s="170" t="s">
        <v>165</v>
      </c>
      <c r="O664" s="178" t="s">
        <v>4845</v>
      </c>
      <c r="P664" s="172" t="s">
        <v>45</v>
      </c>
      <c r="Q664" s="173" t="s">
        <v>4855</v>
      </c>
      <c r="R664" s="173" t="s">
        <v>1975</v>
      </c>
      <c r="S664" s="174">
        <f>22000*1.16</f>
        <v>25520</v>
      </c>
      <c r="T664" s="175">
        <v>44953</v>
      </c>
      <c r="U664" s="176">
        <v>44958</v>
      </c>
      <c r="V664" s="177">
        <v>44960</v>
      </c>
      <c r="W664" s="105" t="s">
        <v>67</v>
      </c>
      <c r="X664" s="178" t="s">
        <v>738</v>
      </c>
      <c r="Y664" s="170" t="s">
        <v>471</v>
      </c>
      <c r="Z664" s="1771" t="s">
        <v>67</v>
      </c>
      <c r="AA664" s="1772" t="s">
        <v>67</v>
      </c>
      <c r="AB664" s="33"/>
      <c r="AC664" s="8"/>
      <c r="AD664" s="4"/>
      <c r="AE664" s="4"/>
      <c r="AF664" s="32"/>
      <c r="AG664" s="1773" t="s">
        <v>67</v>
      </c>
      <c r="AH664" s="1774" t="s">
        <v>67</v>
      </c>
      <c r="AI664" s="1774" t="s">
        <v>67</v>
      </c>
      <c r="AJ664" s="1775" t="s">
        <v>67</v>
      </c>
      <c r="AK664" s="1776" t="s">
        <v>67</v>
      </c>
      <c r="AL664" s="1777" t="s">
        <v>67</v>
      </c>
      <c r="AM664" s="1680" t="s">
        <v>67</v>
      </c>
      <c r="AN664" s="1704"/>
      <c r="AO664" s="1680" t="s">
        <v>67</v>
      </c>
      <c r="AP664" s="1704"/>
      <c r="AQ664" s="1680" t="s">
        <v>67</v>
      </c>
      <c r="AR664" s="1704"/>
      <c r="AS664" s="1778"/>
      <c r="AT664" s="1779">
        <v>0</v>
      </c>
      <c r="AU664" s="1780">
        <v>0</v>
      </c>
      <c r="AV664" s="1781">
        <v>0</v>
      </c>
      <c r="AW664" s="1782" t="s">
        <v>67</v>
      </c>
      <c r="AX664" s="1701" t="s">
        <v>67</v>
      </c>
      <c r="AY664" s="1702" t="s">
        <v>67</v>
      </c>
      <c r="AZ664" s="1703" t="s">
        <v>67</v>
      </c>
      <c r="BA664" s="30" t="s">
        <v>67</v>
      </c>
      <c r="BB664" s="5"/>
      <c r="BC664" s="5"/>
      <c r="BD664" s="11"/>
      <c r="BE664" s="30" t="s">
        <v>67</v>
      </c>
      <c r="BF664" s="310"/>
      <c r="BG664" s="5"/>
      <c r="BH664" s="5"/>
      <c r="BI664" s="5"/>
      <c r="BJ664" s="36"/>
      <c r="BK664" s="1784" t="s">
        <v>67</v>
      </c>
      <c r="BL664" s="1139"/>
      <c r="BM664" s="1785" t="s">
        <v>67</v>
      </c>
      <c r="BN664" s="1786" t="s">
        <v>67</v>
      </c>
      <c r="BO664" s="1786" t="s">
        <v>67</v>
      </c>
      <c r="BP664" s="1787" t="s">
        <v>67</v>
      </c>
      <c r="BQ664" s="1787" t="s">
        <v>67</v>
      </c>
      <c r="BR664" s="1787" t="s">
        <v>67</v>
      </c>
      <c r="BS664" s="1787" t="s">
        <v>67</v>
      </c>
      <c r="BT664" s="1787" t="s">
        <v>67</v>
      </c>
      <c r="BU664" s="1787" t="s">
        <v>67</v>
      </c>
      <c r="BV664" s="1787" t="s">
        <v>67</v>
      </c>
      <c r="BW664" s="1785" t="s">
        <v>67</v>
      </c>
      <c r="BX664" s="13"/>
      <c r="BY664" s="22"/>
      <c r="BZ664" s="22"/>
      <c r="CA664" s="22"/>
      <c r="CB664" s="22"/>
      <c r="CC664" s="22"/>
      <c r="CD664" s="22"/>
      <c r="CE664" s="1246" t="s">
        <v>3947</v>
      </c>
      <c r="CF664" s="866"/>
    </row>
    <row r="665" spans="1:84" ht="104.25" hidden="1" customHeight="1">
      <c r="A665" s="1467"/>
      <c r="B665" s="22"/>
      <c r="C665" s="122"/>
      <c r="D665" s="22"/>
      <c r="E665" s="921"/>
      <c r="F665" s="921"/>
      <c r="G665" s="925"/>
      <c r="H665" s="1793" t="s">
        <v>6333</v>
      </c>
      <c r="I665" s="331">
        <v>44999</v>
      </c>
      <c r="J665" s="331"/>
      <c r="K665" s="169">
        <v>2023</v>
      </c>
      <c r="L665" s="1446">
        <v>232005</v>
      </c>
      <c r="M665" s="1446"/>
      <c r="N665" s="170" t="s">
        <v>165</v>
      </c>
      <c r="O665" s="178" t="s">
        <v>4846</v>
      </c>
      <c r="P665" s="172" t="s">
        <v>45</v>
      </c>
      <c r="Q665" s="173" t="s">
        <v>4856</v>
      </c>
      <c r="R665" s="173" t="s">
        <v>1975</v>
      </c>
      <c r="S665" s="174">
        <f>15000*1.16</f>
        <v>17400</v>
      </c>
      <c r="T665" s="175">
        <v>44953</v>
      </c>
      <c r="U665" s="176">
        <v>44960</v>
      </c>
      <c r="V665" s="177">
        <v>44962</v>
      </c>
      <c r="W665" s="105" t="s">
        <v>67</v>
      </c>
      <c r="X665" s="178" t="s">
        <v>738</v>
      </c>
      <c r="Y665" s="170" t="s">
        <v>471</v>
      </c>
      <c r="Z665" s="1771" t="s">
        <v>67</v>
      </c>
      <c r="AA665" s="1772" t="s">
        <v>67</v>
      </c>
      <c r="AB665" s="33"/>
      <c r="AC665" s="8"/>
      <c r="AD665" s="4"/>
      <c r="AE665" s="4"/>
      <c r="AF665" s="32"/>
      <c r="AG665" s="1773" t="s">
        <v>67</v>
      </c>
      <c r="AH665" s="1774" t="s">
        <v>67</v>
      </c>
      <c r="AI665" s="1774" t="s">
        <v>67</v>
      </c>
      <c r="AJ665" s="1775" t="s">
        <v>67</v>
      </c>
      <c r="AK665" s="1776" t="s">
        <v>67</v>
      </c>
      <c r="AL665" s="1777" t="s">
        <v>67</v>
      </c>
      <c r="AM665" s="1680" t="s">
        <v>67</v>
      </c>
      <c r="AN665" s="1704"/>
      <c r="AO665" s="1680" t="s">
        <v>67</v>
      </c>
      <c r="AP665" s="1704"/>
      <c r="AQ665" s="1680" t="s">
        <v>67</v>
      </c>
      <c r="AR665" s="1704"/>
      <c r="AS665" s="1778"/>
      <c r="AT665" s="1779">
        <v>0</v>
      </c>
      <c r="AU665" s="1780">
        <v>0</v>
      </c>
      <c r="AV665" s="1781">
        <v>0</v>
      </c>
      <c r="AW665" s="1782" t="s">
        <v>67</v>
      </c>
      <c r="AX665" s="1701" t="s">
        <v>67</v>
      </c>
      <c r="AY665" s="1702" t="s">
        <v>67</v>
      </c>
      <c r="AZ665" s="1703" t="s">
        <v>67</v>
      </c>
      <c r="BA665" s="30" t="s">
        <v>67</v>
      </c>
      <c r="BB665" s="5"/>
      <c r="BC665" s="5"/>
      <c r="BD665" s="11"/>
      <c r="BE665" s="30" t="s">
        <v>67</v>
      </c>
      <c r="BF665" s="310"/>
      <c r="BG665" s="5"/>
      <c r="BH665" s="5"/>
      <c r="BI665" s="5"/>
      <c r="BJ665" s="36"/>
      <c r="BK665" s="1784" t="s">
        <v>67</v>
      </c>
      <c r="BL665" s="1139"/>
      <c r="BM665" s="1785" t="s">
        <v>67</v>
      </c>
      <c r="BN665" s="1786" t="s">
        <v>67</v>
      </c>
      <c r="BO665" s="1786" t="s">
        <v>67</v>
      </c>
      <c r="BP665" s="1787" t="s">
        <v>67</v>
      </c>
      <c r="BQ665" s="1787" t="s">
        <v>67</v>
      </c>
      <c r="BR665" s="1787" t="s">
        <v>67</v>
      </c>
      <c r="BS665" s="1787" t="s">
        <v>67</v>
      </c>
      <c r="BT665" s="1787" t="s">
        <v>67</v>
      </c>
      <c r="BU665" s="1787" t="s">
        <v>67</v>
      </c>
      <c r="BV665" s="1787" t="s">
        <v>67</v>
      </c>
      <c r="BW665" s="1785" t="s">
        <v>67</v>
      </c>
      <c r="BX665" s="13"/>
      <c r="BY665" s="22"/>
      <c r="BZ665" s="22"/>
      <c r="CA665" s="22"/>
      <c r="CB665" s="22"/>
      <c r="CC665" s="22"/>
      <c r="CD665" s="22"/>
      <c r="CE665" s="1246" t="s">
        <v>3947</v>
      </c>
      <c r="CF665" s="866"/>
    </row>
    <row r="666" spans="1:84" ht="133.5" hidden="1" customHeight="1">
      <c r="A666" s="1467"/>
      <c r="B666" s="22"/>
      <c r="C666" s="122"/>
      <c r="D666" s="22"/>
      <c r="E666" s="921"/>
      <c r="F666" s="921"/>
      <c r="G666" s="925"/>
      <c r="H666" s="1793" t="s">
        <v>6333</v>
      </c>
      <c r="I666" s="331"/>
      <c r="J666" s="331"/>
      <c r="K666" s="169">
        <v>2023</v>
      </c>
      <c r="L666" s="1446">
        <v>232006</v>
      </c>
      <c r="M666" s="1446"/>
      <c r="N666" s="170" t="s">
        <v>165</v>
      </c>
      <c r="O666" s="178" t="s">
        <v>4847</v>
      </c>
      <c r="P666" s="172" t="s">
        <v>45</v>
      </c>
      <c r="Q666" s="173" t="s">
        <v>5564</v>
      </c>
      <c r="R666" s="173" t="s">
        <v>2580</v>
      </c>
      <c r="S666" s="174">
        <v>3500</v>
      </c>
      <c r="T666" s="175">
        <v>44929</v>
      </c>
      <c r="U666" s="176">
        <v>44931</v>
      </c>
      <c r="V666" s="177">
        <v>44931</v>
      </c>
      <c r="W666" s="105" t="s">
        <v>67</v>
      </c>
      <c r="X666" s="178" t="s">
        <v>5682</v>
      </c>
      <c r="Y666" s="170" t="s">
        <v>471</v>
      </c>
      <c r="Z666" s="1771" t="s">
        <v>67</v>
      </c>
      <c r="AA666" s="1772" t="s">
        <v>67</v>
      </c>
      <c r="AB666" s="33"/>
      <c r="AC666" s="8"/>
      <c r="AD666" s="4"/>
      <c r="AE666" s="4"/>
      <c r="AF666" s="32"/>
      <c r="AG666" s="1773" t="s">
        <v>67</v>
      </c>
      <c r="AH666" s="1774" t="s">
        <v>67</v>
      </c>
      <c r="AI666" s="1774" t="s">
        <v>67</v>
      </c>
      <c r="AJ666" s="1775" t="s">
        <v>67</v>
      </c>
      <c r="AK666" s="1776" t="s">
        <v>67</v>
      </c>
      <c r="AL666" s="1777" t="s">
        <v>67</v>
      </c>
      <c r="AM666" s="1680" t="s">
        <v>67</v>
      </c>
      <c r="AN666" s="1704"/>
      <c r="AO666" s="1680" t="s">
        <v>67</v>
      </c>
      <c r="AP666" s="1704"/>
      <c r="AQ666" s="1680" t="s">
        <v>67</v>
      </c>
      <c r="AR666" s="1704"/>
      <c r="AS666" s="1778"/>
      <c r="AT666" s="1779">
        <v>0</v>
      </c>
      <c r="AU666" s="1780">
        <v>0</v>
      </c>
      <c r="AV666" s="1781">
        <v>0</v>
      </c>
      <c r="AW666" s="1782" t="s">
        <v>67</v>
      </c>
      <c r="AX666" s="1701" t="s">
        <v>67</v>
      </c>
      <c r="AY666" s="1702" t="s">
        <v>67</v>
      </c>
      <c r="AZ666" s="1703" t="s">
        <v>67</v>
      </c>
      <c r="BA666" s="30" t="s">
        <v>67</v>
      </c>
      <c r="BB666" s="5"/>
      <c r="BC666" s="5"/>
      <c r="BD666" s="11"/>
      <c r="BE666" s="30" t="s">
        <v>67</v>
      </c>
      <c r="BF666" s="310"/>
      <c r="BG666" s="5"/>
      <c r="BH666" s="5"/>
      <c r="BI666" s="5"/>
      <c r="BJ666" s="36"/>
      <c r="BK666" s="1784" t="s">
        <v>67</v>
      </c>
      <c r="BL666" s="1139"/>
      <c r="BM666" s="1785" t="s">
        <v>67</v>
      </c>
      <c r="BN666" s="1786" t="s">
        <v>67</v>
      </c>
      <c r="BO666" s="1786" t="s">
        <v>67</v>
      </c>
      <c r="BP666" s="1787" t="s">
        <v>67</v>
      </c>
      <c r="BQ666" s="1787" t="s">
        <v>67</v>
      </c>
      <c r="BR666" s="1787" t="s">
        <v>67</v>
      </c>
      <c r="BS666" s="1787" t="s">
        <v>67</v>
      </c>
      <c r="BT666" s="1787" t="s">
        <v>67</v>
      </c>
      <c r="BU666" s="1787" t="s">
        <v>67</v>
      </c>
      <c r="BV666" s="1787" t="s">
        <v>67</v>
      </c>
      <c r="BW666" s="1785" t="s">
        <v>67</v>
      </c>
      <c r="BX666" s="13"/>
      <c r="BY666" s="22"/>
      <c r="BZ666" s="22"/>
      <c r="CA666" s="22"/>
      <c r="CB666" s="22"/>
      <c r="CC666" s="22"/>
      <c r="CD666" s="22"/>
      <c r="CE666" s="1246" t="s">
        <v>3947</v>
      </c>
      <c r="CF666" s="866"/>
    </row>
    <row r="667" spans="1:84" ht="129" hidden="1" customHeight="1">
      <c r="A667" s="1467"/>
      <c r="B667" s="22"/>
      <c r="C667" s="122"/>
      <c r="D667" s="22"/>
      <c r="E667" s="921"/>
      <c r="F667" s="921"/>
      <c r="G667" s="925"/>
      <c r="H667" s="1793" t="s">
        <v>6333</v>
      </c>
      <c r="I667" s="331"/>
      <c r="J667" s="331"/>
      <c r="K667" s="169">
        <v>2023</v>
      </c>
      <c r="L667" s="1446">
        <v>232007</v>
      </c>
      <c r="M667" s="1446"/>
      <c r="N667" s="170" t="s">
        <v>165</v>
      </c>
      <c r="O667" s="178" t="s">
        <v>4848</v>
      </c>
      <c r="P667" s="172" t="s">
        <v>45</v>
      </c>
      <c r="Q667" s="173" t="s">
        <v>5565</v>
      </c>
      <c r="R667" s="173" t="s">
        <v>4412</v>
      </c>
      <c r="S667" s="174">
        <v>3500</v>
      </c>
      <c r="T667" s="175">
        <v>44970</v>
      </c>
      <c r="U667" s="176">
        <v>44972</v>
      </c>
      <c r="V667" s="177">
        <v>44972</v>
      </c>
      <c r="W667" s="105" t="s">
        <v>67</v>
      </c>
      <c r="X667" s="178" t="s">
        <v>5682</v>
      </c>
      <c r="Y667" s="170" t="s">
        <v>471</v>
      </c>
      <c r="Z667" s="1771" t="s">
        <v>67</v>
      </c>
      <c r="AA667" s="1772" t="s">
        <v>67</v>
      </c>
      <c r="AB667" s="33"/>
      <c r="AC667" s="8"/>
      <c r="AD667" s="4"/>
      <c r="AE667" s="4"/>
      <c r="AF667" s="32"/>
      <c r="AG667" s="1773" t="s">
        <v>67</v>
      </c>
      <c r="AH667" s="1774" t="s">
        <v>67</v>
      </c>
      <c r="AI667" s="1774" t="s">
        <v>67</v>
      </c>
      <c r="AJ667" s="1775" t="s">
        <v>67</v>
      </c>
      <c r="AK667" s="1776" t="s">
        <v>67</v>
      </c>
      <c r="AL667" s="1777" t="s">
        <v>67</v>
      </c>
      <c r="AM667" s="1680" t="s">
        <v>67</v>
      </c>
      <c r="AN667" s="1704"/>
      <c r="AO667" s="1680" t="s">
        <v>67</v>
      </c>
      <c r="AP667" s="1704"/>
      <c r="AQ667" s="1680" t="s">
        <v>67</v>
      </c>
      <c r="AR667" s="1704"/>
      <c r="AS667" s="1778"/>
      <c r="AT667" s="1779">
        <v>0</v>
      </c>
      <c r="AU667" s="1780">
        <v>0</v>
      </c>
      <c r="AV667" s="1781">
        <v>0</v>
      </c>
      <c r="AW667" s="1782" t="s">
        <v>67</v>
      </c>
      <c r="AX667" s="1701" t="s">
        <v>67</v>
      </c>
      <c r="AY667" s="1702" t="s">
        <v>67</v>
      </c>
      <c r="AZ667" s="1703" t="s">
        <v>67</v>
      </c>
      <c r="BA667" s="30" t="s">
        <v>67</v>
      </c>
      <c r="BB667" s="5"/>
      <c r="BC667" s="5"/>
      <c r="BD667" s="11"/>
      <c r="BE667" s="30" t="s">
        <v>67</v>
      </c>
      <c r="BF667" s="310"/>
      <c r="BG667" s="5"/>
      <c r="BH667" s="5"/>
      <c r="BI667" s="5"/>
      <c r="BJ667" s="36"/>
      <c r="BK667" s="1784" t="s">
        <v>67</v>
      </c>
      <c r="BL667" s="1139"/>
      <c r="BM667" s="1785" t="s">
        <v>67</v>
      </c>
      <c r="BN667" s="1786" t="s">
        <v>67</v>
      </c>
      <c r="BO667" s="1786" t="s">
        <v>67</v>
      </c>
      <c r="BP667" s="1787" t="s">
        <v>67</v>
      </c>
      <c r="BQ667" s="1787" t="s">
        <v>67</v>
      </c>
      <c r="BR667" s="1787" t="s">
        <v>67</v>
      </c>
      <c r="BS667" s="1787" t="s">
        <v>67</v>
      </c>
      <c r="BT667" s="1787" t="s">
        <v>67</v>
      </c>
      <c r="BU667" s="1787" t="s">
        <v>67</v>
      </c>
      <c r="BV667" s="1787" t="s">
        <v>67</v>
      </c>
      <c r="BW667" s="1785" t="s">
        <v>67</v>
      </c>
      <c r="BX667" s="13"/>
      <c r="BY667" s="22"/>
      <c r="BZ667" s="22"/>
      <c r="CA667" s="22"/>
      <c r="CB667" s="22"/>
      <c r="CC667" s="22"/>
      <c r="CD667" s="22"/>
      <c r="CE667" s="1246" t="s">
        <v>3947</v>
      </c>
      <c r="CF667" s="866"/>
    </row>
    <row r="668" spans="1:84" ht="165.75" hidden="1" customHeight="1">
      <c r="A668" s="1467"/>
      <c r="B668" s="22"/>
      <c r="C668" s="122"/>
      <c r="D668" s="22"/>
      <c r="E668" s="921"/>
      <c r="F668" s="921"/>
      <c r="G668" s="925"/>
      <c r="H668" s="1793" t="s">
        <v>6333</v>
      </c>
      <c r="I668" s="331"/>
      <c r="J668" s="331"/>
      <c r="K668" s="169">
        <v>2023</v>
      </c>
      <c r="L668" s="1446">
        <v>232008</v>
      </c>
      <c r="M668" s="1446"/>
      <c r="N668" s="170" t="s">
        <v>165</v>
      </c>
      <c r="O668" s="178" t="s">
        <v>4849</v>
      </c>
      <c r="P668" s="172" t="s">
        <v>45</v>
      </c>
      <c r="Q668" s="173" t="s">
        <v>5566</v>
      </c>
      <c r="R668" s="173" t="s">
        <v>1975</v>
      </c>
      <c r="S668" s="174">
        <f>19200*1.16</f>
        <v>22272</v>
      </c>
      <c r="T668" s="582">
        <v>44978</v>
      </c>
      <c r="U668" s="176">
        <v>44979</v>
      </c>
      <c r="V668" s="177">
        <v>44979</v>
      </c>
      <c r="W668" s="105" t="s">
        <v>67</v>
      </c>
      <c r="X668" s="178" t="s">
        <v>3961</v>
      </c>
      <c r="Y668" s="170" t="s">
        <v>471</v>
      </c>
      <c r="Z668" s="1771" t="s">
        <v>67</v>
      </c>
      <c r="AA668" s="1772" t="s">
        <v>67</v>
      </c>
      <c r="AB668" s="33"/>
      <c r="AC668" s="8"/>
      <c r="AD668" s="4"/>
      <c r="AE668" s="4"/>
      <c r="AF668" s="32"/>
      <c r="AG668" s="1773" t="s">
        <v>67</v>
      </c>
      <c r="AH668" s="1774" t="s">
        <v>67</v>
      </c>
      <c r="AI668" s="1774" t="s">
        <v>67</v>
      </c>
      <c r="AJ668" s="1775" t="s">
        <v>67</v>
      </c>
      <c r="AK668" s="1776" t="s">
        <v>67</v>
      </c>
      <c r="AL668" s="1777" t="s">
        <v>67</v>
      </c>
      <c r="AM668" s="1680" t="s">
        <v>67</v>
      </c>
      <c r="AN668" s="1704"/>
      <c r="AO668" s="1680" t="s">
        <v>67</v>
      </c>
      <c r="AP668" s="1704"/>
      <c r="AQ668" s="1680" t="s">
        <v>67</v>
      </c>
      <c r="AR668" s="1704"/>
      <c r="AS668" s="1778"/>
      <c r="AT668" s="1779">
        <v>0</v>
      </c>
      <c r="AU668" s="1780">
        <v>0</v>
      </c>
      <c r="AV668" s="1781">
        <v>0</v>
      </c>
      <c r="AW668" s="1782" t="s">
        <v>67</v>
      </c>
      <c r="AX668" s="1701" t="s">
        <v>67</v>
      </c>
      <c r="AY668" s="1702" t="s">
        <v>67</v>
      </c>
      <c r="AZ668" s="1703" t="s">
        <v>67</v>
      </c>
      <c r="BA668" s="30" t="s">
        <v>67</v>
      </c>
      <c r="BB668" s="5"/>
      <c r="BC668" s="5"/>
      <c r="BD668" s="11"/>
      <c r="BE668" s="30" t="s">
        <v>67</v>
      </c>
      <c r="BF668" s="310"/>
      <c r="BG668" s="5"/>
      <c r="BH668" s="5"/>
      <c r="BI668" s="5"/>
      <c r="BJ668" s="36"/>
      <c r="BK668" s="1784" t="s">
        <v>67</v>
      </c>
      <c r="BL668" s="1139"/>
      <c r="BM668" s="1785" t="s">
        <v>67</v>
      </c>
      <c r="BN668" s="1786" t="s">
        <v>67</v>
      </c>
      <c r="BO668" s="1786" t="s">
        <v>67</v>
      </c>
      <c r="BP668" s="1787" t="s">
        <v>67</v>
      </c>
      <c r="BQ668" s="1787" t="s">
        <v>67</v>
      </c>
      <c r="BR668" s="1787" t="s">
        <v>67</v>
      </c>
      <c r="BS668" s="1787" t="s">
        <v>67</v>
      </c>
      <c r="BT668" s="1787" t="s">
        <v>67</v>
      </c>
      <c r="BU668" s="1787" t="s">
        <v>67</v>
      </c>
      <c r="BV668" s="1787" t="s">
        <v>67</v>
      </c>
      <c r="BW668" s="1785" t="s">
        <v>67</v>
      </c>
      <c r="BX668" s="13"/>
      <c r="BY668" s="22"/>
      <c r="BZ668" s="22"/>
      <c r="CA668" s="22"/>
      <c r="CB668" s="22"/>
      <c r="CC668" s="22"/>
      <c r="CD668" s="22"/>
      <c r="CE668" s="1246" t="s">
        <v>3947</v>
      </c>
      <c r="CF668" s="866"/>
    </row>
    <row r="669" spans="1:84" ht="207" hidden="1" customHeight="1">
      <c r="A669" s="1467"/>
      <c r="B669" s="22"/>
      <c r="C669" s="122"/>
      <c r="D669" s="22"/>
      <c r="E669" s="921"/>
      <c r="F669" s="921"/>
      <c r="G669" s="925"/>
      <c r="H669" s="1793" t="s">
        <v>6333</v>
      </c>
      <c r="I669" s="331"/>
      <c r="J669" s="331"/>
      <c r="K669" s="169">
        <v>2023</v>
      </c>
      <c r="L669" s="1446">
        <v>232009</v>
      </c>
      <c r="M669" s="1446"/>
      <c r="N669" s="170" t="s">
        <v>165</v>
      </c>
      <c r="O669" s="178" t="s">
        <v>4850</v>
      </c>
      <c r="P669" s="172" t="s">
        <v>45</v>
      </c>
      <c r="Q669" s="173" t="s">
        <v>5567</v>
      </c>
      <c r="R669" s="173" t="s">
        <v>4412</v>
      </c>
      <c r="S669" s="174">
        <f>18000*1.16</f>
        <v>20880</v>
      </c>
      <c r="T669" s="582">
        <v>45007</v>
      </c>
      <c r="U669" s="176">
        <v>45009</v>
      </c>
      <c r="V669" s="177">
        <v>45016</v>
      </c>
      <c r="W669" s="105" t="s">
        <v>67</v>
      </c>
      <c r="X669" s="178" t="s">
        <v>3961</v>
      </c>
      <c r="Y669" s="170" t="s">
        <v>471</v>
      </c>
      <c r="Z669" s="1771" t="s">
        <v>67</v>
      </c>
      <c r="AA669" s="1772" t="s">
        <v>67</v>
      </c>
      <c r="AB669" s="33"/>
      <c r="AC669" s="8"/>
      <c r="AD669" s="4"/>
      <c r="AE669" s="4"/>
      <c r="AF669" s="32"/>
      <c r="AG669" s="1773" t="s">
        <v>67</v>
      </c>
      <c r="AH669" s="1774" t="s">
        <v>67</v>
      </c>
      <c r="AI669" s="1774" t="s">
        <v>67</v>
      </c>
      <c r="AJ669" s="1775" t="s">
        <v>67</v>
      </c>
      <c r="AK669" s="1776" t="s">
        <v>67</v>
      </c>
      <c r="AL669" s="1777" t="s">
        <v>67</v>
      </c>
      <c r="AM669" s="1680" t="s">
        <v>67</v>
      </c>
      <c r="AN669" s="1704"/>
      <c r="AO669" s="1680" t="s">
        <v>67</v>
      </c>
      <c r="AP669" s="1704"/>
      <c r="AQ669" s="1680" t="s">
        <v>67</v>
      </c>
      <c r="AR669" s="1704"/>
      <c r="AS669" s="1778"/>
      <c r="AT669" s="1779">
        <v>0</v>
      </c>
      <c r="AU669" s="1780">
        <v>0</v>
      </c>
      <c r="AV669" s="1781">
        <v>0</v>
      </c>
      <c r="AW669" s="1782" t="s">
        <v>67</v>
      </c>
      <c r="AX669" s="1701" t="s">
        <v>67</v>
      </c>
      <c r="AY669" s="1702" t="s">
        <v>67</v>
      </c>
      <c r="AZ669" s="1703" t="s">
        <v>67</v>
      </c>
      <c r="BA669" s="30" t="s">
        <v>67</v>
      </c>
      <c r="BB669" s="5"/>
      <c r="BC669" s="5"/>
      <c r="BD669" s="11"/>
      <c r="BE669" s="30" t="s">
        <v>67</v>
      </c>
      <c r="BF669" s="310"/>
      <c r="BG669" s="5"/>
      <c r="BH669" s="5"/>
      <c r="BI669" s="5"/>
      <c r="BJ669" s="36"/>
      <c r="BK669" s="1784" t="s">
        <v>67</v>
      </c>
      <c r="BL669" s="1139"/>
      <c r="BM669" s="1785" t="s">
        <v>67</v>
      </c>
      <c r="BN669" s="1786" t="s">
        <v>67</v>
      </c>
      <c r="BO669" s="1786" t="s">
        <v>67</v>
      </c>
      <c r="BP669" s="1787" t="s">
        <v>67</v>
      </c>
      <c r="BQ669" s="1787" t="s">
        <v>67</v>
      </c>
      <c r="BR669" s="1787" t="s">
        <v>67</v>
      </c>
      <c r="BS669" s="1787" t="s">
        <v>67</v>
      </c>
      <c r="BT669" s="1787" t="s">
        <v>67</v>
      </c>
      <c r="BU669" s="1787" t="s">
        <v>67</v>
      </c>
      <c r="BV669" s="1787" t="s">
        <v>67</v>
      </c>
      <c r="BW669" s="1785" t="s">
        <v>67</v>
      </c>
      <c r="BX669" s="13"/>
      <c r="BY669" s="22"/>
      <c r="BZ669" s="22"/>
      <c r="CA669" s="22"/>
      <c r="CB669" s="22"/>
      <c r="CC669" s="22"/>
      <c r="CD669" s="22"/>
      <c r="CE669" s="1246" t="s">
        <v>3947</v>
      </c>
      <c r="CF669" s="866"/>
    </row>
    <row r="670" spans="1:84" ht="183" hidden="1" customHeight="1">
      <c r="A670" s="1467"/>
      <c r="B670" s="22"/>
      <c r="C670" s="122"/>
      <c r="D670" s="22"/>
      <c r="E670" s="921"/>
      <c r="F670" s="921"/>
      <c r="G670" s="925"/>
      <c r="H670" s="1793" t="s">
        <v>6333</v>
      </c>
      <c r="I670" s="331"/>
      <c r="J670" s="331"/>
      <c r="K670" s="169">
        <v>2023</v>
      </c>
      <c r="L670" s="1446">
        <v>232010</v>
      </c>
      <c r="M670" s="1446"/>
      <c r="N670" s="170" t="s">
        <v>165</v>
      </c>
      <c r="O670" s="178" t="s">
        <v>4851</v>
      </c>
      <c r="P670" s="172" t="s">
        <v>45</v>
      </c>
      <c r="Q670" s="173" t="s">
        <v>5568</v>
      </c>
      <c r="R670" s="173" t="s">
        <v>4412</v>
      </c>
      <c r="S670" s="174">
        <f>24000*1.16</f>
        <v>27839.999999999996</v>
      </c>
      <c r="T670" s="582">
        <v>45009</v>
      </c>
      <c r="U670" s="176">
        <v>45013</v>
      </c>
      <c r="V670" s="177">
        <v>45016</v>
      </c>
      <c r="W670" s="105" t="s">
        <v>67</v>
      </c>
      <c r="X670" s="178" t="s">
        <v>3961</v>
      </c>
      <c r="Y670" s="170" t="s">
        <v>471</v>
      </c>
      <c r="Z670" s="1771" t="s">
        <v>67</v>
      </c>
      <c r="AA670" s="1772" t="s">
        <v>67</v>
      </c>
      <c r="AB670" s="33"/>
      <c r="AC670" s="8"/>
      <c r="AD670" s="4"/>
      <c r="AE670" s="4"/>
      <c r="AF670" s="32"/>
      <c r="AG670" s="1773" t="s">
        <v>67</v>
      </c>
      <c r="AH670" s="1774" t="s">
        <v>67</v>
      </c>
      <c r="AI670" s="1774" t="s">
        <v>67</v>
      </c>
      <c r="AJ670" s="1775" t="s">
        <v>67</v>
      </c>
      <c r="AK670" s="1776" t="s">
        <v>67</v>
      </c>
      <c r="AL670" s="1777" t="s">
        <v>67</v>
      </c>
      <c r="AM670" s="1680" t="s">
        <v>67</v>
      </c>
      <c r="AN670" s="1704"/>
      <c r="AO670" s="1680" t="s">
        <v>67</v>
      </c>
      <c r="AP670" s="1704"/>
      <c r="AQ670" s="1680" t="s">
        <v>67</v>
      </c>
      <c r="AR670" s="1704"/>
      <c r="AS670" s="1778"/>
      <c r="AT670" s="1779">
        <v>0</v>
      </c>
      <c r="AU670" s="1780">
        <v>0</v>
      </c>
      <c r="AV670" s="1781">
        <v>0</v>
      </c>
      <c r="AW670" s="1782" t="s">
        <v>67</v>
      </c>
      <c r="AX670" s="1701" t="s">
        <v>67</v>
      </c>
      <c r="AY670" s="1702" t="s">
        <v>67</v>
      </c>
      <c r="AZ670" s="1703" t="s">
        <v>67</v>
      </c>
      <c r="BA670" s="30" t="s">
        <v>67</v>
      </c>
      <c r="BB670" s="5"/>
      <c r="BC670" s="5"/>
      <c r="BD670" s="11"/>
      <c r="BE670" s="30" t="s">
        <v>67</v>
      </c>
      <c r="BF670" s="310"/>
      <c r="BG670" s="5"/>
      <c r="BH670" s="5"/>
      <c r="BI670" s="5"/>
      <c r="BJ670" s="36"/>
      <c r="BK670" s="1784" t="s">
        <v>67</v>
      </c>
      <c r="BL670" s="1139"/>
      <c r="BM670" s="1785" t="s">
        <v>67</v>
      </c>
      <c r="BN670" s="1786" t="s">
        <v>67</v>
      </c>
      <c r="BO670" s="1786" t="s">
        <v>67</v>
      </c>
      <c r="BP670" s="1787" t="s">
        <v>67</v>
      </c>
      <c r="BQ670" s="1787" t="s">
        <v>67</v>
      </c>
      <c r="BR670" s="1787" t="s">
        <v>67</v>
      </c>
      <c r="BS670" s="1787" t="s">
        <v>67</v>
      </c>
      <c r="BT670" s="1787" t="s">
        <v>67</v>
      </c>
      <c r="BU670" s="1787" t="s">
        <v>67</v>
      </c>
      <c r="BV670" s="1787" t="s">
        <v>67</v>
      </c>
      <c r="BW670" s="1785" t="s">
        <v>67</v>
      </c>
      <c r="BX670" s="13"/>
      <c r="BY670" s="22"/>
      <c r="BZ670" s="22"/>
      <c r="CA670" s="22"/>
      <c r="CB670" s="22"/>
      <c r="CC670" s="22"/>
      <c r="CD670" s="22"/>
      <c r="CE670" s="1246" t="s">
        <v>3947</v>
      </c>
      <c r="CF670" s="866"/>
    </row>
    <row r="671" spans="1:84" ht="111" hidden="1" customHeight="1">
      <c r="A671" s="1467"/>
      <c r="B671" s="22"/>
      <c r="C671" s="122"/>
      <c r="D671" s="22"/>
      <c r="E671" s="921"/>
      <c r="F671" s="921"/>
      <c r="G671" s="925"/>
      <c r="H671" s="1793" t="s">
        <v>6333</v>
      </c>
      <c r="I671" s="331"/>
      <c r="J671" s="331"/>
      <c r="K671" s="169">
        <v>2023</v>
      </c>
      <c r="L671" s="1446">
        <v>232011</v>
      </c>
      <c r="M671" s="1446"/>
      <c r="N671" s="170" t="s">
        <v>165</v>
      </c>
      <c r="O671" s="178" t="s">
        <v>5533</v>
      </c>
      <c r="P671" s="172" t="s">
        <v>45</v>
      </c>
      <c r="Q671" s="173" t="s">
        <v>5569</v>
      </c>
      <c r="R671" s="173" t="s">
        <v>4827</v>
      </c>
      <c r="S671" s="174">
        <f>16000*1.16</f>
        <v>18560</v>
      </c>
      <c r="T671" s="582">
        <v>44988</v>
      </c>
      <c r="U671" s="176">
        <v>44991</v>
      </c>
      <c r="V671" s="177">
        <v>44995</v>
      </c>
      <c r="W671" s="105" t="s">
        <v>67</v>
      </c>
      <c r="X671" s="178" t="s">
        <v>5570</v>
      </c>
      <c r="Y671" s="170" t="s">
        <v>471</v>
      </c>
      <c r="Z671" s="1771" t="s">
        <v>67</v>
      </c>
      <c r="AA671" s="1772" t="s">
        <v>67</v>
      </c>
      <c r="AB671" s="33"/>
      <c r="AC671" s="8"/>
      <c r="AD671" s="4"/>
      <c r="AE671" s="4"/>
      <c r="AF671" s="32"/>
      <c r="AG671" s="1773" t="s">
        <v>67</v>
      </c>
      <c r="AH671" s="1774" t="s">
        <v>67</v>
      </c>
      <c r="AI671" s="1774" t="s">
        <v>67</v>
      </c>
      <c r="AJ671" s="1775" t="s">
        <v>67</v>
      </c>
      <c r="AK671" s="1776" t="s">
        <v>67</v>
      </c>
      <c r="AL671" s="1777" t="s">
        <v>67</v>
      </c>
      <c r="AM671" s="1680" t="s">
        <v>67</v>
      </c>
      <c r="AN671" s="1704"/>
      <c r="AO671" s="1680" t="s">
        <v>67</v>
      </c>
      <c r="AP671" s="1704"/>
      <c r="AQ671" s="1680" t="s">
        <v>67</v>
      </c>
      <c r="AR671" s="1704"/>
      <c r="AS671" s="1778"/>
      <c r="AT671" s="1779">
        <v>0</v>
      </c>
      <c r="AU671" s="1780">
        <v>0</v>
      </c>
      <c r="AV671" s="1781">
        <v>0</v>
      </c>
      <c r="AW671" s="1782" t="s">
        <v>67</v>
      </c>
      <c r="AX671" s="1701" t="s">
        <v>67</v>
      </c>
      <c r="AY671" s="1702" t="s">
        <v>67</v>
      </c>
      <c r="AZ671" s="1703" t="s">
        <v>67</v>
      </c>
      <c r="BA671" s="30" t="s">
        <v>67</v>
      </c>
      <c r="BB671" s="5"/>
      <c r="BC671" s="5"/>
      <c r="BD671" s="11"/>
      <c r="BE671" s="30" t="s">
        <v>67</v>
      </c>
      <c r="BF671" s="310"/>
      <c r="BG671" s="5"/>
      <c r="BH671" s="5"/>
      <c r="BI671" s="5"/>
      <c r="BJ671" s="36"/>
      <c r="BK671" s="1784" t="s">
        <v>67</v>
      </c>
      <c r="BL671" s="1139"/>
      <c r="BM671" s="1785" t="s">
        <v>67</v>
      </c>
      <c r="BN671" s="1786" t="s">
        <v>67</v>
      </c>
      <c r="BO671" s="1786" t="s">
        <v>67</v>
      </c>
      <c r="BP671" s="1787" t="s">
        <v>67</v>
      </c>
      <c r="BQ671" s="1787" t="s">
        <v>67</v>
      </c>
      <c r="BR671" s="1787" t="s">
        <v>67</v>
      </c>
      <c r="BS671" s="1787" t="s">
        <v>67</v>
      </c>
      <c r="BT671" s="1787" t="s">
        <v>67</v>
      </c>
      <c r="BU671" s="1787" t="s">
        <v>67</v>
      </c>
      <c r="BV671" s="1787" t="s">
        <v>67</v>
      </c>
      <c r="BW671" s="1785" t="s">
        <v>67</v>
      </c>
      <c r="BX671" s="13"/>
      <c r="BY671" s="22"/>
      <c r="BZ671" s="22"/>
      <c r="CA671" s="22"/>
      <c r="CB671" s="22"/>
      <c r="CC671" s="22"/>
      <c r="CD671" s="22"/>
      <c r="CE671" s="1246" t="s">
        <v>3947</v>
      </c>
      <c r="CF671" s="866"/>
    </row>
    <row r="672" spans="1:84" ht="112.5" hidden="1" customHeight="1">
      <c r="A672" s="1467"/>
      <c r="B672" s="22"/>
      <c r="C672" s="122"/>
      <c r="D672" s="22"/>
      <c r="E672" s="921"/>
      <c r="F672" s="921"/>
      <c r="G672" s="925"/>
      <c r="H672" s="1793" t="s">
        <v>6333</v>
      </c>
      <c r="I672" s="331"/>
      <c r="J672" s="331"/>
      <c r="K672" s="169">
        <v>2023</v>
      </c>
      <c r="L672" s="1446">
        <v>232012</v>
      </c>
      <c r="M672" s="1446"/>
      <c r="N672" s="170" t="s">
        <v>165</v>
      </c>
      <c r="O672" s="178" t="s">
        <v>5534</v>
      </c>
      <c r="P672" s="172" t="s">
        <v>45</v>
      </c>
      <c r="Q672" s="173" t="s">
        <v>5571</v>
      </c>
      <c r="R672" s="173" t="s">
        <v>4412</v>
      </c>
      <c r="S672" s="174">
        <f>16000*1.16</f>
        <v>18560</v>
      </c>
      <c r="T672" s="582">
        <v>44995</v>
      </c>
      <c r="U672" s="176">
        <v>44998</v>
      </c>
      <c r="V672" s="177">
        <v>45002</v>
      </c>
      <c r="W672" s="105" t="s">
        <v>67</v>
      </c>
      <c r="X672" s="178" t="s">
        <v>5570</v>
      </c>
      <c r="Y672" s="170" t="s">
        <v>471</v>
      </c>
      <c r="Z672" s="1771" t="s">
        <v>67</v>
      </c>
      <c r="AA672" s="1772" t="s">
        <v>67</v>
      </c>
      <c r="AB672" s="33"/>
      <c r="AC672" s="8"/>
      <c r="AD672" s="4"/>
      <c r="AE672" s="4"/>
      <c r="AF672" s="32"/>
      <c r="AG672" s="1773" t="s">
        <v>67</v>
      </c>
      <c r="AH672" s="1774" t="s">
        <v>67</v>
      </c>
      <c r="AI672" s="1774" t="s">
        <v>67</v>
      </c>
      <c r="AJ672" s="1775" t="s">
        <v>67</v>
      </c>
      <c r="AK672" s="1776" t="s">
        <v>67</v>
      </c>
      <c r="AL672" s="1777" t="s">
        <v>67</v>
      </c>
      <c r="AM672" s="1680" t="s">
        <v>67</v>
      </c>
      <c r="AN672" s="1704"/>
      <c r="AO672" s="1680" t="s">
        <v>67</v>
      </c>
      <c r="AP672" s="1704"/>
      <c r="AQ672" s="1680" t="s">
        <v>67</v>
      </c>
      <c r="AR672" s="1704"/>
      <c r="AS672" s="1778"/>
      <c r="AT672" s="1779">
        <v>0</v>
      </c>
      <c r="AU672" s="1780">
        <v>0</v>
      </c>
      <c r="AV672" s="1781">
        <v>0</v>
      </c>
      <c r="AW672" s="1782" t="s">
        <v>67</v>
      </c>
      <c r="AX672" s="1701" t="s">
        <v>67</v>
      </c>
      <c r="AY672" s="1702" t="s">
        <v>67</v>
      </c>
      <c r="AZ672" s="1703" t="s">
        <v>67</v>
      </c>
      <c r="BA672" s="30" t="s">
        <v>67</v>
      </c>
      <c r="BB672" s="5"/>
      <c r="BC672" s="5"/>
      <c r="BD672" s="11"/>
      <c r="BE672" s="30" t="s">
        <v>67</v>
      </c>
      <c r="BF672" s="310"/>
      <c r="BG672" s="5"/>
      <c r="BH672" s="5"/>
      <c r="BI672" s="5"/>
      <c r="BJ672" s="36"/>
      <c r="BK672" s="1784" t="s">
        <v>67</v>
      </c>
      <c r="BL672" s="1139"/>
      <c r="BM672" s="1785" t="s">
        <v>67</v>
      </c>
      <c r="BN672" s="1786" t="s">
        <v>67</v>
      </c>
      <c r="BO672" s="1786" t="s">
        <v>67</v>
      </c>
      <c r="BP672" s="1787" t="s">
        <v>67</v>
      </c>
      <c r="BQ672" s="1787" t="s">
        <v>67</v>
      </c>
      <c r="BR672" s="1787" t="s">
        <v>67</v>
      </c>
      <c r="BS672" s="1787" t="s">
        <v>67</v>
      </c>
      <c r="BT672" s="1787" t="s">
        <v>67</v>
      </c>
      <c r="BU672" s="1787" t="s">
        <v>67</v>
      </c>
      <c r="BV672" s="1787" t="s">
        <v>67</v>
      </c>
      <c r="BW672" s="1785" t="s">
        <v>67</v>
      </c>
      <c r="BX672" s="13"/>
      <c r="BY672" s="22"/>
      <c r="BZ672" s="22"/>
      <c r="CA672" s="22"/>
      <c r="CB672" s="22"/>
      <c r="CC672" s="22"/>
      <c r="CD672" s="22"/>
      <c r="CE672" s="1246" t="s">
        <v>3947</v>
      </c>
      <c r="CF672" s="866"/>
    </row>
    <row r="673" spans="1:84" ht="99.75" hidden="1" customHeight="1">
      <c r="A673" s="1467"/>
      <c r="B673" s="22"/>
      <c r="C673" s="122"/>
      <c r="D673" s="22"/>
      <c r="E673" s="921"/>
      <c r="F673" s="921"/>
      <c r="G673" s="925"/>
      <c r="H673" s="1793" t="s">
        <v>6333</v>
      </c>
      <c r="I673" s="331"/>
      <c r="J673" s="331"/>
      <c r="K673" s="169">
        <v>2023</v>
      </c>
      <c r="L673" s="1446">
        <v>232013</v>
      </c>
      <c r="M673" s="1446"/>
      <c r="N673" s="170" t="s">
        <v>165</v>
      </c>
      <c r="O673" s="178" t="s">
        <v>5535</v>
      </c>
      <c r="P673" s="172" t="s">
        <v>45</v>
      </c>
      <c r="Q673" s="173" t="s">
        <v>5572</v>
      </c>
      <c r="R673" s="173" t="s">
        <v>1975</v>
      </c>
      <c r="S673" s="174">
        <f>16000*1.16</f>
        <v>18560</v>
      </c>
      <c r="T673" s="582">
        <v>45002</v>
      </c>
      <c r="U673" s="176">
        <v>45005</v>
      </c>
      <c r="V673" s="177">
        <v>45009</v>
      </c>
      <c r="W673" s="105" t="s">
        <v>67</v>
      </c>
      <c r="X673" s="178" t="s">
        <v>5570</v>
      </c>
      <c r="Y673" s="170" t="s">
        <v>471</v>
      </c>
      <c r="Z673" s="1771" t="s">
        <v>67</v>
      </c>
      <c r="AA673" s="1772" t="s">
        <v>67</v>
      </c>
      <c r="AB673" s="33"/>
      <c r="AC673" s="8"/>
      <c r="AD673" s="4"/>
      <c r="AE673" s="4"/>
      <c r="AF673" s="32"/>
      <c r="AG673" s="1773" t="s">
        <v>67</v>
      </c>
      <c r="AH673" s="1774" t="s">
        <v>67</v>
      </c>
      <c r="AI673" s="1774" t="s">
        <v>67</v>
      </c>
      <c r="AJ673" s="1775" t="s">
        <v>67</v>
      </c>
      <c r="AK673" s="1776" t="s">
        <v>67</v>
      </c>
      <c r="AL673" s="1777" t="s">
        <v>67</v>
      </c>
      <c r="AM673" s="1680" t="s">
        <v>67</v>
      </c>
      <c r="AN673" s="1704"/>
      <c r="AO673" s="1680" t="s">
        <v>67</v>
      </c>
      <c r="AP673" s="1704"/>
      <c r="AQ673" s="1680" t="s">
        <v>67</v>
      </c>
      <c r="AR673" s="1704"/>
      <c r="AS673" s="1778"/>
      <c r="AT673" s="1779">
        <v>0</v>
      </c>
      <c r="AU673" s="1780">
        <v>0</v>
      </c>
      <c r="AV673" s="1781">
        <v>0</v>
      </c>
      <c r="AW673" s="1782" t="s">
        <v>67</v>
      </c>
      <c r="AX673" s="1701" t="s">
        <v>67</v>
      </c>
      <c r="AY673" s="1702" t="s">
        <v>67</v>
      </c>
      <c r="AZ673" s="1703" t="s">
        <v>67</v>
      </c>
      <c r="BA673" s="30" t="s">
        <v>67</v>
      </c>
      <c r="BB673" s="5"/>
      <c r="BC673" s="5"/>
      <c r="BD673" s="11"/>
      <c r="BE673" s="30" t="s">
        <v>67</v>
      </c>
      <c r="BF673" s="310"/>
      <c r="BG673" s="5"/>
      <c r="BH673" s="5"/>
      <c r="BI673" s="5"/>
      <c r="BJ673" s="36"/>
      <c r="BK673" s="1784" t="s">
        <v>67</v>
      </c>
      <c r="BL673" s="1139"/>
      <c r="BM673" s="1785" t="s">
        <v>67</v>
      </c>
      <c r="BN673" s="1786" t="s">
        <v>67</v>
      </c>
      <c r="BO673" s="1786" t="s">
        <v>67</v>
      </c>
      <c r="BP673" s="1787" t="s">
        <v>67</v>
      </c>
      <c r="BQ673" s="1787" t="s">
        <v>67</v>
      </c>
      <c r="BR673" s="1787" t="s">
        <v>67</v>
      </c>
      <c r="BS673" s="1787" t="s">
        <v>67</v>
      </c>
      <c r="BT673" s="1787" t="s">
        <v>67</v>
      </c>
      <c r="BU673" s="1787" t="s">
        <v>67</v>
      </c>
      <c r="BV673" s="1787" t="s">
        <v>67</v>
      </c>
      <c r="BW673" s="1785" t="s">
        <v>67</v>
      </c>
      <c r="BX673" s="13"/>
      <c r="BY673" s="22"/>
      <c r="BZ673" s="22"/>
      <c r="CA673" s="22"/>
      <c r="CB673" s="22"/>
      <c r="CC673" s="22"/>
      <c r="CD673" s="22"/>
      <c r="CE673" s="1246" t="s">
        <v>3947</v>
      </c>
      <c r="CF673" s="866"/>
    </row>
    <row r="674" spans="1:84" ht="113.25" hidden="1" customHeight="1">
      <c r="A674" s="1467"/>
      <c r="B674" s="22"/>
      <c r="C674" s="122"/>
      <c r="D674" s="22"/>
      <c r="E674" s="921"/>
      <c r="F674" s="921"/>
      <c r="G674" s="925"/>
      <c r="H674" s="1793" t="s">
        <v>6333</v>
      </c>
      <c r="I674" s="331"/>
      <c r="J674" s="331"/>
      <c r="K674" s="169">
        <v>2023</v>
      </c>
      <c r="L674" s="1446">
        <v>232014</v>
      </c>
      <c r="M674" s="1446"/>
      <c r="N674" s="170" t="s">
        <v>165</v>
      </c>
      <c r="O674" s="178" t="s">
        <v>5536</v>
      </c>
      <c r="P674" s="172" t="s">
        <v>45</v>
      </c>
      <c r="Q674" s="173" t="s">
        <v>5573</v>
      </c>
      <c r="R674" s="173" t="s">
        <v>4412</v>
      </c>
      <c r="S674" s="174">
        <f>16000*1.16</f>
        <v>18560</v>
      </c>
      <c r="T674" s="582">
        <v>45001</v>
      </c>
      <c r="U674" s="176">
        <v>45005</v>
      </c>
      <c r="V674" s="177">
        <v>45009</v>
      </c>
      <c r="W674" s="105" t="s">
        <v>67</v>
      </c>
      <c r="X674" s="178" t="s">
        <v>5570</v>
      </c>
      <c r="Y674" s="170" t="s">
        <v>471</v>
      </c>
      <c r="Z674" s="1771" t="s">
        <v>67</v>
      </c>
      <c r="AA674" s="1772" t="s">
        <v>67</v>
      </c>
      <c r="AB674" s="33"/>
      <c r="AC674" s="8"/>
      <c r="AD674" s="4"/>
      <c r="AE674" s="4"/>
      <c r="AF674" s="32"/>
      <c r="AG674" s="1773" t="s">
        <v>67</v>
      </c>
      <c r="AH674" s="1774" t="s">
        <v>67</v>
      </c>
      <c r="AI674" s="1774" t="s">
        <v>67</v>
      </c>
      <c r="AJ674" s="1775" t="s">
        <v>67</v>
      </c>
      <c r="AK674" s="1776" t="s">
        <v>67</v>
      </c>
      <c r="AL674" s="1777" t="s">
        <v>67</v>
      </c>
      <c r="AM674" s="1680" t="s">
        <v>67</v>
      </c>
      <c r="AN674" s="1704"/>
      <c r="AO674" s="1680" t="s">
        <v>67</v>
      </c>
      <c r="AP674" s="1704"/>
      <c r="AQ674" s="1680" t="s">
        <v>67</v>
      </c>
      <c r="AR674" s="1704"/>
      <c r="AS674" s="1778"/>
      <c r="AT674" s="1779">
        <v>0</v>
      </c>
      <c r="AU674" s="1780">
        <v>0</v>
      </c>
      <c r="AV674" s="1781">
        <v>0</v>
      </c>
      <c r="AW674" s="1782" t="s">
        <v>67</v>
      </c>
      <c r="AX674" s="1701" t="s">
        <v>67</v>
      </c>
      <c r="AY674" s="1702" t="s">
        <v>67</v>
      </c>
      <c r="AZ674" s="1703" t="s">
        <v>67</v>
      </c>
      <c r="BA674" s="30" t="s">
        <v>67</v>
      </c>
      <c r="BB674" s="5"/>
      <c r="BC674" s="5"/>
      <c r="BD674" s="11"/>
      <c r="BE674" s="30" t="s">
        <v>67</v>
      </c>
      <c r="BF674" s="310"/>
      <c r="BG674" s="5"/>
      <c r="BH674" s="5"/>
      <c r="BI674" s="5"/>
      <c r="BJ674" s="36"/>
      <c r="BK674" s="1784" t="s">
        <v>67</v>
      </c>
      <c r="BL674" s="1139"/>
      <c r="BM674" s="1785" t="s">
        <v>67</v>
      </c>
      <c r="BN674" s="1786" t="s">
        <v>67</v>
      </c>
      <c r="BO674" s="1786" t="s">
        <v>67</v>
      </c>
      <c r="BP674" s="1787" t="s">
        <v>67</v>
      </c>
      <c r="BQ674" s="1787" t="s">
        <v>67</v>
      </c>
      <c r="BR674" s="1787" t="s">
        <v>67</v>
      </c>
      <c r="BS674" s="1787" t="s">
        <v>67</v>
      </c>
      <c r="BT674" s="1787" t="s">
        <v>67</v>
      </c>
      <c r="BU674" s="1787" t="s">
        <v>67</v>
      </c>
      <c r="BV674" s="1787" t="s">
        <v>67</v>
      </c>
      <c r="BW674" s="1785" t="s">
        <v>67</v>
      </c>
      <c r="BX674" s="13"/>
      <c r="BY674" s="22"/>
      <c r="BZ674" s="22"/>
      <c r="CA674" s="22"/>
      <c r="CB674" s="22"/>
      <c r="CC674" s="22"/>
      <c r="CD674" s="22"/>
      <c r="CE674" s="1246" t="s">
        <v>3947</v>
      </c>
      <c r="CF674" s="866"/>
    </row>
    <row r="675" spans="1:84" ht="86.25" hidden="1" customHeight="1">
      <c r="A675" s="1467"/>
      <c r="B675" s="22"/>
      <c r="C675" s="122"/>
      <c r="D675" s="22"/>
      <c r="E675" s="921"/>
      <c r="F675" s="921"/>
      <c r="G675" s="925"/>
      <c r="H675" s="1793" t="s">
        <v>6333</v>
      </c>
      <c r="I675" s="331"/>
      <c r="J675" s="331"/>
      <c r="K675" s="169">
        <v>2023</v>
      </c>
      <c r="L675" s="1446">
        <v>232015</v>
      </c>
      <c r="M675" s="1446"/>
      <c r="N675" s="170" t="s">
        <v>165</v>
      </c>
      <c r="O675" s="178" t="s">
        <v>5537</v>
      </c>
      <c r="P675" s="172" t="s">
        <v>45</v>
      </c>
      <c r="Q675" s="173" t="s">
        <v>5574</v>
      </c>
      <c r="R675" s="173" t="s">
        <v>4413</v>
      </c>
      <c r="S675" s="174">
        <f>10000*1.16</f>
        <v>11600</v>
      </c>
      <c r="T675" s="582">
        <v>45005</v>
      </c>
      <c r="U675" s="176">
        <v>45012</v>
      </c>
      <c r="V675" s="177">
        <v>45016</v>
      </c>
      <c r="W675" s="105" t="s">
        <v>67</v>
      </c>
      <c r="X675" s="178" t="s">
        <v>738</v>
      </c>
      <c r="Y675" s="170" t="s">
        <v>471</v>
      </c>
      <c r="Z675" s="1771" t="s">
        <v>67</v>
      </c>
      <c r="AA675" s="1772" t="s">
        <v>67</v>
      </c>
      <c r="AB675" s="33"/>
      <c r="AC675" s="8"/>
      <c r="AD675" s="4"/>
      <c r="AE675" s="4"/>
      <c r="AF675" s="32"/>
      <c r="AG675" s="1773" t="s">
        <v>67</v>
      </c>
      <c r="AH675" s="1774" t="s">
        <v>67</v>
      </c>
      <c r="AI675" s="1774" t="s">
        <v>67</v>
      </c>
      <c r="AJ675" s="1775" t="s">
        <v>67</v>
      </c>
      <c r="AK675" s="1776" t="s">
        <v>67</v>
      </c>
      <c r="AL675" s="1777" t="s">
        <v>67</v>
      </c>
      <c r="AM675" s="1680" t="s">
        <v>67</v>
      </c>
      <c r="AN675" s="1704"/>
      <c r="AO675" s="1680" t="s">
        <v>67</v>
      </c>
      <c r="AP675" s="1704"/>
      <c r="AQ675" s="1680" t="s">
        <v>67</v>
      </c>
      <c r="AR675" s="1704"/>
      <c r="AS675" s="1778"/>
      <c r="AT675" s="1779">
        <v>0</v>
      </c>
      <c r="AU675" s="1780">
        <v>0</v>
      </c>
      <c r="AV675" s="1781">
        <v>0</v>
      </c>
      <c r="AW675" s="1782" t="s">
        <v>67</v>
      </c>
      <c r="AX675" s="1701" t="s">
        <v>67</v>
      </c>
      <c r="AY675" s="1702" t="s">
        <v>67</v>
      </c>
      <c r="AZ675" s="1703" t="s">
        <v>67</v>
      </c>
      <c r="BA675" s="30" t="s">
        <v>67</v>
      </c>
      <c r="BB675" s="5"/>
      <c r="BC675" s="5"/>
      <c r="BD675" s="11"/>
      <c r="BE675" s="30" t="s">
        <v>67</v>
      </c>
      <c r="BF675" s="310"/>
      <c r="BG675" s="5"/>
      <c r="BH675" s="5"/>
      <c r="BI675" s="5"/>
      <c r="BJ675" s="36"/>
      <c r="BK675" s="1784" t="s">
        <v>67</v>
      </c>
      <c r="BL675" s="1139"/>
      <c r="BM675" s="1785" t="s">
        <v>67</v>
      </c>
      <c r="BN675" s="1786" t="s">
        <v>67</v>
      </c>
      <c r="BO675" s="1786" t="s">
        <v>67</v>
      </c>
      <c r="BP675" s="1787" t="s">
        <v>67</v>
      </c>
      <c r="BQ675" s="1787" t="s">
        <v>67</v>
      </c>
      <c r="BR675" s="1787" t="s">
        <v>67</v>
      </c>
      <c r="BS675" s="1787" t="s">
        <v>67</v>
      </c>
      <c r="BT675" s="1787" t="s">
        <v>67</v>
      </c>
      <c r="BU675" s="1787" t="s">
        <v>67</v>
      </c>
      <c r="BV675" s="1787" t="s">
        <v>67</v>
      </c>
      <c r="BW675" s="1785" t="s">
        <v>67</v>
      </c>
      <c r="BX675" s="13"/>
      <c r="BY675" s="22"/>
      <c r="BZ675" s="22"/>
      <c r="CA675" s="22"/>
      <c r="CB675" s="22"/>
      <c r="CC675" s="22"/>
      <c r="CD675" s="22"/>
      <c r="CE675" s="1246" t="s">
        <v>3947</v>
      </c>
      <c r="CF675" s="866"/>
    </row>
    <row r="676" spans="1:84" ht="136.5" hidden="1" customHeight="1">
      <c r="A676" s="1467"/>
      <c r="B676" s="22"/>
      <c r="C676" s="122"/>
      <c r="D676" s="22"/>
      <c r="E676" s="921"/>
      <c r="F676" s="921"/>
      <c r="G676" s="925"/>
      <c r="H676" s="1793" t="s">
        <v>6333</v>
      </c>
      <c r="I676" s="331"/>
      <c r="J676" s="331"/>
      <c r="K676" s="169">
        <v>2023</v>
      </c>
      <c r="L676" s="1446">
        <v>232016</v>
      </c>
      <c r="M676" s="1446"/>
      <c r="N676" s="170" t="s">
        <v>165</v>
      </c>
      <c r="O676" s="178" t="s">
        <v>5538</v>
      </c>
      <c r="P676" s="172" t="s">
        <v>45</v>
      </c>
      <c r="Q676" s="173" t="s">
        <v>5576</v>
      </c>
      <c r="R676" s="258" t="s">
        <v>2617</v>
      </c>
      <c r="S676" s="1819">
        <f>27000*1.16</f>
        <v>31319.999999999996</v>
      </c>
      <c r="T676" s="582">
        <v>45029</v>
      </c>
      <c r="U676" s="176">
        <v>45033</v>
      </c>
      <c r="V676" s="177">
        <v>45037</v>
      </c>
      <c r="W676" s="105" t="s">
        <v>67</v>
      </c>
      <c r="X676" s="178" t="s">
        <v>738</v>
      </c>
      <c r="Y676" s="170" t="s">
        <v>471</v>
      </c>
      <c r="Z676" s="1771" t="s">
        <v>67</v>
      </c>
      <c r="AA676" s="1772" t="s">
        <v>67</v>
      </c>
      <c r="AB676" s="33"/>
      <c r="AC676" s="8"/>
      <c r="AD676" s="4"/>
      <c r="AE676" s="4"/>
      <c r="AF676" s="32"/>
      <c r="AG676" s="1773" t="s">
        <v>67</v>
      </c>
      <c r="AH676" s="1774" t="s">
        <v>67</v>
      </c>
      <c r="AI676" s="1774" t="s">
        <v>67</v>
      </c>
      <c r="AJ676" s="1775" t="s">
        <v>67</v>
      </c>
      <c r="AK676" s="1776" t="s">
        <v>67</v>
      </c>
      <c r="AL676" s="1777" t="s">
        <v>67</v>
      </c>
      <c r="AM676" s="1680" t="s">
        <v>67</v>
      </c>
      <c r="AN676" s="1704"/>
      <c r="AO676" s="1680" t="s">
        <v>67</v>
      </c>
      <c r="AP676" s="1704"/>
      <c r="AQ676" s="1680" t="s">
        <v>67</v>
      </c>
      <c r="AR676" s="1704"/>
      <c r="AS676" s="1778"/>
      <c r="AT676" s="1779">
        <v>0</v>
      </c>
      <c r="AU676" s="1780">
        <v>0</v>
      </c>
      <c r="AV676" s="1781">
        <v>0</v>
      </c>
      <c r="AW676" s="1782" t="s">
        <v>67</v>
      </c>
      <c r="AX676" s="1701" t="s">
        <v>67</v>
      </c>
      <c r="AY676" s="1702" t="s">
        <v>67</v>
      </c>
      <c r="AZ676" s="1703" t="s">
        <v>67</v>
      </c>
      <c r="BA676" s="30" t="s">
        <v>67</v>
      </c>
      <c r="BB676" s="5"/>
      <c r="BC676" s="5"/>
      <c r="BD676" s="11"/>
      <c r="BE676" s="30" t="s">
        <v>67</v>
      </c>
      <c r="BF676" s="310"/>
      <c r="BG676" s="5"/>
      <c r="BH676" s="5"/>
      <c r="BI676" s="5"/>
      <c r="BJ676" s="36"/>
      <c r="BK676" s="1784" t="s">
        <v>67</v>
      </c>
      <c r="BL676" s="1139"/>
      <c r="BM676" s="1785" t="s">
        <v>67</v>
      </c>
      <c r="BN676" s="1786" t="s">
        <v>67</v>
      </c>
      <c r="BO676" s="1786" t="s">
        <v>67</v>
      </c>
      <c r="BP676" s="1787" t="s">
        <v>67</v>
      </c>
      <c r="BQ676" s="1787" t="s">
        <v>67</v>
      </c>
      <c r="BR676" s="1787" t="s">
        <v>67</v>
      </c>
      <c r="BS676" s="1787" t="s">
        <v>67</v>
      </c>
      <c r="BT676" s="1787" t="s">
        <v>67</v>
      </c>
      <c r="BU676" s="1787" t="s">
        <v>67</v>
      </c>
      <c r="BV676" s="1787" t="s">
        <v>67</v>
      </c>
      <c r="BW676" s="1785" t="s">
        <v>67</v>
      </c>
      <c r="BX676" s="13"/>
      <c r="BY676" s="22"/>
      <c r="BZ676" s="22"/>
      <c r="CA676" s="22"/>
      <c r="CB676" s="22"/>
      <c r="CC676" s="22"/>
      <c r="CD676" s="22"/>
      <c r="CE676" s="1246" t="s">
        <v>3947</v>
      </c>
      <c r="CF676" s="866"/>
    </row>
    <row r="677" spans="1:84" ht="130.5" hidden="1" customHeight="1">
      <c r="A677" s="1467"/>
      <c r="B677" s="22"/>
      <c r="C677" s="122"/>
      <c r="D677" s="22"/>
      <c r="E677" s="921"/>
      <c r="F677" s="921"/>
      <c r="G677" s="925"/>
      <c r="H677" s="1793" t="s">
        <v>6333</v>
      </c>
      <c r="I677" s="331"/>
      <c r="J677" s="331"/>
      <c r="K677" s="169">
        <v>2023</v>
      </c>
      <c r="L677" s="1446">
        <v>232017</v>
      </c>
      <c r="M677" s="1446"/>
      <c r="N677" s="170" t="s">
        <v>165</v>
      </c>
      <c r="O677" s="178" t="s">
        <v>5539</v>
      </c>
      <c r="P677" s="172" t="s">
        <v>45</v>
      </c>
      <c r="Q677" s="173" t="s">
        <v>5577</v>
      </c>
      <c r="R677" s="173" t="s">
        <v>1975</v>
      </c>
      <c r="S677" s="174">
        <f>20000*1.16</f>
        <v>23200</v>
      </c>
      <c r="T677" s="582">
        <v>45065</v>
      </c>
      <c r="U677" s="176">
        <v>45068</v>
      </c>
      <c r="V677" s="177">
        <v>45070</v>
      </c>
      <c r="W677" s="105" t="s">
        <v>67</v>
      </c>
      <c r="X677" s="178" t="s">
        <v>2989</v>
      </c>
      <c r="Y677" s="170" t="s">
        <v>471</v>
      </c>
      <c r="Z677" s="1771" t="s">
        <v>67</v>
      </c>
      <c r="AA677" s="1772" t="s">
        <v>67</v>
      </c>
      <c r="AB677" s="33"/>
      <c r="AC677" s="8"/>
      <c r="AD677" s="4"/>
      <c r="AE677" s="4"/>
      <c r="AF677" s="32"/>
      <c r="AG677" s="1773" t="s">
        <v>67</v>
      </c>
      <c r="AH677" s="1774" t="s">
        <v>67</v>
      </c>
      <c r="AI677" s="1774" t="s">
        <v>67</v>
      </c>
      <c r="AJ677" s="1775" t="s">
        <v>67</v>
      </c>
      <c r="AK677" s="1776" t="s">
        <v>67</v>
      </c>
      <c r="AL677" s="1777" t="s">
        <v>67</v>
      </c>
      <c r="AM677" s="1680" t="s">
        <v>67</v>
      </c>
      <c r="AN677" s="1704"/>
      <c r="AO677" s="1680" t="s">
        <v>67</v>
      </c>
      <c r="AP677" s="1704"/>
      <c r="AQ677" s="1680" t="s">
        <v>67</v>
      </c>
      <c r="AR677" s="1704"/>
      <c r="AS677" s="1778"/>
      <c r="AT677" s="1779">
        <v>0</v>
      </c>
      <c r="AU677" s="1780">
        <v>0</v>
      </c>
      <c r="AV677" s="1781">
        <v>0</v>
      </c>
      <c r="AW677" s="1782" t="s">
        <v>67</v>
      </c>
      <c r="AX677" s="1701" t="s">
        <v>67</v>
      </c>
      <c r="AY677" s="1702" t="s">
        <v>67</v>
      </c>
      <c r="AZ677" s="1703" t="s">
        <v>67</v>
      </c>
      <c r="BA677" s="30" t="s">
        <v>67</v>
      </c>
      <c r="BB677" s="5"/>
      <c r="BC677" s="5"/>
      <c r="BD677" s="11"/>
      <c r="BE677" s="30" t="s">
        <v>67</v>
      </c>
      <c r="BF677" s="310"/>
      <c r="BG677" s="5"/>
      <c r="BH677" s="5"/>
      <c r="BI677" s="5"/>
      <c r="BJ677" s="36"/>
      <c r="BK677" s="1784" t="s">
        <v>67</v>
      </c>
      <c r="BL677" s="1139"/>
      <c r="BM677" s="1785" t="s">
        <v>67</v>
      </c>
      <c r="BN677" s="1786" t="s">
        <v>67</v>
      </c>
      <c r="BO677" s="1786" t="s">
        <v>67</v>
      </c>
      <c r="BP677" s="1787" t="s">
        <v>67</v>
      </c>
      <c r="BQ677" s="1787" t="s">
        <v>67</v>
      </c>
      <c r="BR677" s="1787" t="s">
        <v>67</v>
      </c>
      <c r="BS677" s="1787" t="s">
        <v>67</v>
      </c>
      <c r="BT677" s="1787" t="s">
        <v>67</v>
      </c>
      <c r="BU677" s="1787" t="s">
        <v>67</v>
      </c>
      <c r="BV677" s="1787" t="s">
        <v>67</v>
      </c>
      <c r="BW677" s="1785" t="s">
        <v>67</v>
      </c>
      <c r="BX677" s="13"/>
      <c r="BY677" s="22"/>
      <c r="BZ677" s="22"/>
      <c r="CA677" s="22"/>
      <c r="CB677" s="22"/>
      <c r="CC677" s="22"/>
      <c r="CD677" s="22"/>
      <c r="CE677" s="1246" t="s">
        <v>3947</v>
      </c>
      <c r="CF677" s="866"/>
    </row>
    <row r="678" spans="1:84" ht="131.25" hidden="1" customHeight="1">
      <c r="A678" s="1467"/>
      <c r="B678" s="22"/>
      <c r="C678" s="122"/>
      <c r="D678" s="22"/>
      <c r="E678" s="921"/>
      <c r="F678" s="921"/>
      <c r="G678" s="925"/>
      <c r="H678" s="1793" t="s">
        <v>6333</v>
      </c>
      <c r="I678" s="331"/>
      <c r="J678" s="331"/>
      <c r="K678" s="169">
        <v>2023</v>
      </c>
      <c r="L678" s="1446">
        <v>232018</v>
      </c>
      <c r="M678" s="1446"/>
      <c r="N678" s="170" t="s">
        <v>165</v>
      </c>
      <c r="O678" s="178" t="s">
        <v>5540</v>
      </c>
      <c r="P678" s="172" t="s">
        <v>45</v>
      </c>
      <c r="Q678" s="173" t="s">
        <v>5578</v>
      </c>
      <c r="R678" s="173" t="s">
        <v>1975</v>
      </c>
      <c r="S678" s="174">
        <f>20000*1.16</f>
        <v>23200</v>
      </c>
      <c r="T678" s="582">
        <v>45069</v>
      </c>
      <c r="U678" s="176">
        <v>45071</v>
      </c>
      <c r="V678" s="177">
        <v>45072</v>
      </c>
      <c r="W678" s="105" t="s">
        <v>67</v>
      </c>
      <c r="X678" s="178" t="s">
        <v>2989</v>
      </c>
      <c r="Y678" s="170" t="s">
        <v>471</v>
      </c>
      <c r="Z678" s="1771" t="s">
        <v>67</v>
      </c>
      <c r="AA678" s="1772" t="s">
        <v>67</v>
      </c>
      <c r="AB678" s="33"/>
      <c r="AC678" s="8"/>
      <c r="AD678" s="4"/>
      <c r="AE678" s="4"/>
      <c r="AF678" s="32"/>
      <c r="AG678" s="1773" t="s">
        <v>67</v>
      </c>
      <c r="AH678" s="1774" t="s">
        <v>67</v>
      </c>
      <c r="AI678" s="1774" t="s">
        <v>67</v>
      </c>
      <c r="AJ678" s="1775" t="s">
        <v>67</v>
      </c>
      <c r="AK678" s="1776" t="s">
        <v>67</v>
      </c>
      <c r="AL678" s="1777" t="s">
        <v>67</v>
      </c>
      <c r="AM678" s="1680" t="s">
        <v>67</v>
      </c>
      <c r="AN678" s="1704"/>
      <c r="AO678" s="1680" t="s">
        <v>67</v>
      </c>
      <c r="AP678" s="1704"/>
      <c r="AQ678" s="1680" t="s">
        <v>67</v>
      </c>
      <c r="AR678" s="1704"/>
      <c r="AS678" s="1778"/>
      <c r="AT678" s="1779">
        <v>0</v>
      </c>
      <c r="AU678" s="1780">
        <v>0</v>
      </c>
      <c r="AV678" s="1781">
        <v>0</v>
      </c>
      <c r="AW678" s="1782" t="s">
        <v>67</v>
      </c>
      <c r="AX678" s="1701" t="s">
        <v>67</v>
      </c>
      <c r="AY678" s="1702" t="s">
        <v>67</v>
      </c>
      <c r="AZ678" s="1703" t="s">
        <v>67</v>
      </c>
      <c r="BA678" s="30" t="s">
        <v>67</v>
      </c>
      <c r="BB678" s="5"/>
      <c r="BC678" s="5"/>
      <c r="BD678" s="11"/>
      <c r="BE678" s="30" t="s">
        <v>67</v>
      </c>
      <c r="BF678" s="310"/>
      <c r="BG678" s="5"/>
      <c r="BH678" s="5"/>
      <c r="BI678" s="5"/>
      <c r="BJ678" s="36"/>
      <c r="BK678" s="1784" t="s">
        <v>67</v>
      </c>
      <c r="BL678" s="1139"/>
      <c r="BM678" s="1785" t="s">
        <v>67</v>
      </c>
      <c r="BN678" s="1786" t="s">
        <v>67</v>
      </c>
      <c r="BO678" s="1786" t="s">
        <v>67</v>
      </c>
      <c r="BP678" s="1787" t="s">
        <v>67</v>
      </c>
      <c r="BQ678" s="1787" t="s">
        <v>67</v>
      </c>
      <c r="BR678" s="1787" t="s">
        <v>67</v>
      </c>
      <c r="BS678" s="1787" t="s">
        <v>67</v>
      </c>
      <c r="BT678" s="1787" t="s">
        <v>67</v>
      </c>
      <c r="BU678" s="1787" t="s">
        <v>67</v>
      </c>
      <c r="BV678" s="1787" t="s">
        <v>67</v>
      </c>
      <c r="BW678" s="1785" t="s">
        <v>67</v>
      </c>
      <c r="BX678" s="13"/>
      <c r="BY678" s="22"/>
      <c r="BZ678" s="22"/>
      <c r="CA678" s="22"/>
      <c r="CB678" s="22"/>
      <c r="CC678" s="22"/>
      <c r="CD678" s="22"/>
      <c r="CE678" s="1246" t="s">
        <v>3947</v>
      </c>
      <c r="CF678" s="866"/>
    </row>
    <row r="679" spans="1:84" ht="93.75" hidden="1" customHeight="1">
      <c r="A679" s="1467"/>
      <c r="B679" s="22"/>
      <c r="C679" s="122"/>
      <c r="D679" s="22"/>
      <c r="E679" s="921"/>
      <c r="F679" s="921"/>
      <c r="G679" s="925"/>
      <c r="H679" s="1793" t="s">
        <v>6333</v>
      </c>
      <c r="I679" s="331"/>
      <c r="J679" s="331"/>
      <c r="K679" s="169">
        <v>2023</v>
      </c>
      <c r="L679" s="1446">
        <v>232019</v>
      </c>
      <c r="M679" s="1446"/>
      <c r="N679" s="170" t="s">
        <v>165</v>
      </c>
      <c r="O679" s="178" t="s">
        <v>5541</v>
      </c>
      <c r="P679" s="172" t="s">
        <v>45</v>
      </c>
      <c r="Q679" s="173" t="s">
        <v>5579</v>
      </c>
      <c r="R679" s="173" t="s">
        <v>1975</v>
      </c>
      <c r="S679" s="174">
        <f>5172.41*1.16</f>
        <v>5999.9955999999993</v>
      </c>
      <c r="T679" s="582">
        <v>45099</v>
      </c>
      <c r="U679" s="176">
        <v>45099</v>
      </c>
      <c r="V679" s="177">
        <v>45103</v>
      </c>
      <c r="W679" s="105" t="s">
        <v>67</v>
      </c>
      <c r="X679" s="178" t="s">
        <v>190</v>
      </c>
      <c r="Y679" s="170" t="s">
        <v>471</v>
      </c>
      <c r="Z679" s="1771" t="s">
        <v>67</v>
      </c>
      <c r="AA679" s="1772" t="s">
        <v>67</v>
      </c>
      <c r="AB679" s="33"/>
      <c r="AC679" s="8"/>
      <c r="AD679" s="4"/>
      <c r="AE679" s="4"/>
      <c r="AF679" s="32"/>
      <c r="AG679" s="1773" t="s">
        <v>67</v>
      </c>
      <c r="AH679" s="1774" t="s">
        <v>67</v>
      </c>
      <c r="AI679" s="1774" t="s">
        <v>67</v>
      </c>
      <c r="AJ679" s="1775" t="s">
        <v>67</v>
      </c>
      <c r="AK679" s="1776" t="s">
        <v>67</v>
      </c>
      <c r="AL679" s="1777" t="s">
        <v>67</v>
      </c>
      <c r="AM679" s="1680" t="s">
        <v>67</v>
      </c>
      <c r="AN679" s="1704"/>
      <c r="AO679" s="1680" t="s">
        <v>67</v>
      </c>
      <c r="AP679" s="1704"/>
      <c r="AQ679" s="1680" t="s">
        <v>67</v>
      </c>
      <c r="AR679" s="1704"/>
      <c r="AS679" s="1778"/>
      <c r="AT679" s="1779">
        <v>0</v>
      </c>
      <c r="AU679" s="1780">
        <v>0</v>
      </c>
      <c r="AV679" s="1781">
        <v>0</v>
      </c>
      <c r="AW679" s="1782" t="s">
        <v>67</v>
      </c>
      <c r="AX679" s="1701" t="s">
        <v>67</v>
      </c>
      <c r="AY679" s="1702" t="s">
        <v>67</v>
      </c>
      <c r="AZ679" s="1703" t="s">
        <v>67</v>
      </c>
      <c r="BA679" s="30" t="s">
        <v>67</v>
      </c>
      <c r="BB679" s="5"/>
      <c r="BC679" s="5"/>
      <c r="BD679" s="11"/>
      <c r="BE679" s="30" t="s">
        <v>67</v>
      </c>
      <c r="BF679" s="310"/>
      <c r="BG679" s="5"/>
      <c r="BH679" s="5"/>
      <c r="BI679" s="5"/>
      <c r="BJ679" s="36"/>
      <c r="BK679" s="1784" t="s">
        <v>67</v>
      </c>
      <c r="BL679" s="1139"/>
      <c r="BM679" s="1785" t="s">
        <v>67</v>
      </c>
      <c r="BN679" s="1786" t="s">
        <v>67</v>
      </c>
      <c r="BO679" s="1786" t="s">
        <v>67</v>
      </c>
      <c r="BP679" s="1787" t="s">
        <v>67</v>
      </c>
      <c r="BQ679" s="1787" t="s">
        <v>67</v>
      </c>
      <c r="BR679" s="1787" t="s">
        <v>67</v>
      </c>
      <c r="BS679" s="1787" t="s">
        <v>67</v>
      </c>
      <c r="BT679" s="1787" t="s">
        <v>67</v>
      </c>
      <c r="BU679" s="1787" t="s">
        <v>67</v>
      </c>
      <c r="BV679" s="1787" t="s">
        <v>67</v>
      </c>
      <c r="BW679" s="1785" t="s">
        <v>67</v>
      </c>
      <c r="BX679" s="13"/>
      <c r="BY679" s="22"/>
      <c r="BZ679" s="22"/>
      <c r="CA679" s="22"/>
      <c r="CB679" s="22"/>
      <c r="CC679" s="22"/>
      <c r="CD679" s="22"/>
      <c r="CE679" s="1246" t="s">
        <v>3947</v>
      </c>
      <c r="CF679" s="866"/>
    </row>
    <row r="680" spans="1:84" ht="105" hidden="1" customHeight="1">
      <c r="A680" s="1467"/>
      <c r="B680" s="22"/>
      <c r="C680" s="122"/>
      <c r="D680" s="22"/>
      <c r="E680" s="921"/>
      <c r="F680" s="921"/>
      <c r="G680" s="925"/>
      <c r="H680" s="1793" t="s">
        <v>6333</v>
      </c>
      <c r="I680" s="331"/>
      <c r="J680" s="331"/>
      <c r="K680" s="169">
        <v>2023</v>
      </c>
      <c r="L680" s="1446">
        <v>232020</v>
      </c>
      <c r="M680" s="1446"/>
      <c r="N680" s="170" t="s">
        <v>165</v>
      </c>
      <c r="O680" s="178" t="s">
        <v>5542</v>
      </c>
      <c r="P680" s="172" t="s">
        <v>45</v>
      </c>
      <c r="Q680" s="173" t="s">
        <v>5575</v>
      </c>
      <c r="R680" s="173" t="s">
        <v>2578</v>
      </c>
      <c r="S680" s="174">
        <f>83144.46*1.16</f>
        <v>96447.573600000003</v>
      </c>
      <c r="T680" s="582">
        <v>45118</v>
      </c>
      <c r="U680" s="176">
        <v>45120</v>
      </c>
      <c r="V680" s="177">
        <v>45129</v>
      </c>
      <c r="W680" s="105" t="s">
        <v>67</v>
      </c>
      <c r="X680" s="178" t="s">
        <v>190</v>
      </c>
      <c r="Y680" s="170" t="s">
        <v>471</v>
      </c>
      <c r="Z680" s="1771" t="s">
        <v>67</v>
      </c>
      <c r="AA680" s="1772" t="s">
        <v>67</v>
      </c>
      <c r="AB680" s="33"/>
      <c r="AC680" s="8"/>
      <c r="AD680" s="4"/>
      <c r="AE680" s="4"/>
      <c r="AF680" s="32"/>
      <c r="AG680" s="1773" t="s">
        <v>67</v>
      </c>
      <c r="AH680" s="1774" t="s">
        <v>67</v>
      </c>
      <c r="AI680" s="1774" t="s">
        <v>67</v>
      </c>
      <c r="AJ680" s="1775" t="s">
        <v>67</v>
      </c>
      <c r="AK680" s="1776" t="s">
        <v>67</v>
      </c>
      <c r="AL680" s="1777" t="s">
        <v>67</v>
      </c>
      <c r="AM680" s="1680" t="s">
        <v>67</v>
      </c>
      <c r="AN680" s="1704"/>
      <c r="AO680" s="1680" t="s">
        <v>67</v>
      </c>
      <c r="AP680" s="1704"/>
      <c r="AQ680" s="1680" t="s">
        <v>67</v>
      </c>
      <c r="AR680" s="1704"/>
      <c r="AS680" s="1778"/>
      <c r="AT680" s="1779">
        <v>0</v>
      </c>
      <c r="AU680" s="1780">
        <v>0</v>
      </c>
      <c r="AV680" s="1781">
        <v>0</v>
      </c>
      <c r="AW680" s="1782" t="s">
        <v>67</v>
      </c>
      <c r="AX680" s="1701" t="s">
        <v>67</v>
      </c>
      <c r="AY680" s="1702" t="s">
        <v>67</v>
      </c>
      <c r="AZ680" s="1703" t="s">
        <v>67</v>
      </c>
      <c r="BA680" s="30" t="s">
        <v>67</v>
      </c>
      <c r="BB680" s="5"/>
      <c r="BC680" s="5"/>
      <c r="BD680" s="11"/>
      <c r="BE680" s="30" t="s">
        <v>67</v>
      </c>
      <c r="BF680" s="310"/>
      <c r="BG680" s="5"/>
      <c r="BH680" s="5"/>
      <c r="BI680" s="5"/>
      <c r="BJ680" s="36"/>
      <c r="BK680" s="1784" t="s">
        <v>67</v>
      </c>
      <c r="BL680" s="1139"/>
      <c r="BM680" s="1785" t="s">
        <v>67</v>
      </c>
      <c r="BN680" s="1786" t="s">
        <v>67</v>
      </c>
      <c r="BO680" s="1786" t="s">
        <v>67</v>
      </c>
      <c r="BP680" s="1787" t="s">
        <v>67</v>
      </c>
      <c r="BQ680" s="1787" t="s">
        <v>67</v>
      </c>
      <c r="BR680" s="1787" t="s">
        <v>67</v>
      </c>
      <c r="BS680" s="1787" t="s">
        <v>67</v>
      </c>
      <c r="BT680" s="1787" t="s">
        <v>67</v>
      </c>
      <c r="BU680" s="1787" t="s">
        <v>67</v>
      </c>
      <c r="BV680" s="1787" t="s">
        <v>67</v>
      </c>
      <c r="BW680" s="1785" t="s">
        <v>67</v>
      </c>
      <c r="BX680" s="13"/>
      <c r="BY680" s="22"/>
      <c r="BZ680" s="22"/>
      <c r="CA680" s="22"/>
      <c r="CB680" s="22"/>
      <c r="CC680" s="22"/>
      <c r="CD680" s="22"/>
      <c r="CE680" s="1246" t="s">
        <v>3947</v>
      </c>
      <c r="CF680" s="866"/>
    </row>
    <row r="681" spans="1:84" ht="208.5" hidden="1" customHeight="1">
      <c r="A681" s="1467"/>
      <c r="B681" s="22"/>
      <c r="C681" s="122"/>
      <c r="D681" s="22"/>
      <c r="E681" s="921"/>
      <c r="F681" s="921"/>
      <c r="G681" s="925"/>
      <c r="H681" s="1793" t="s">
        <v>6333</v>
      </c>
      <c r="I681" s="331"/>
      <c r="J681" s="331"/>
      <c r="K681" s="169">
        <v>2023</v>
      </c>
      <c r="L681" s="1446">
        <v>232021</v>
      </c>
      <c r="M681" s="1446"/>
      <c r="N681" s="170" t="s">
        <v>165</v>
      </c>
      <c r="O681" s="178" t="s">
        <v>5543</v>
      </c>
      <c r="P681" s="172" t="s">
        <v>45</v>
      </c>
      <c r="Q681" s="173" t="s">
        <v>5580</v>
      </c>
      <c r="R681" s="173" t="s">
        <v>2578</v>
      </c>
      <c r="S681" s="174">
        <f>15000*1.16</f>
        <v>17400</v>
      </c>
      <c r="T681" s="582">
        <v>45131</v>
      </c>
      <c r="U681" s="176">
        <v>45138</v>
      </c>
      <c r="V681" s="177">
        <v>45187</v>
      </c>
      <c r="W681" s="105" t="s">
        <v>67</v>
      </c>
      <c r="X681" s="178" t="s">
        <v>4453</v>
      </c>
      <c r="Y681" s="170" t="s">
        <v>471</v>
      </c>
      <c r="Z681" s="1771" t="s">
        <v>67</v>
      </c>
      <c r="AA681" s="1772" t="s">
        <v>67</v>
      </c>
      <c r="AB681" s="33"/>
      <c r="AC681" s="8"/>
      <c r="AD681" s="4"/>
      <c r="AE681" s="4"/>
      <c r="AF681" s="32"/>
      <c r="AG681" s="1773" t="s">
        <v>67</v>
      </c>
      <c r="AH681" s="1774" t="s">
        <v>67</v>
      </c>
      <c r="AI681" s="1774" t="s">
        <v>67</v>
      </c>
      <c r="AJ681" s="1775" t="s">
        <v>67</v>
      </c>
      <c r="AK681" s="1776" t="s">
        <v>67</v>
      </c>
      <c r="AL681" s="1777" t="s">
        <v>67</v>
      </c>
      <c r="AM681" s="1680" t="s">
        <v>67</v>
      </c>
      <c r="AN681" s="1704"/>
      <c r="AO681" s="1680" t="s">
        <v>67</v>
      </c>
      <c r="AP681" s="1704"/>
      <c r="AQ681" s="1680" t="s">
        <v>67</v>
      </c>
      <c r="AR681" s="1704"/>
      <c r="AS681" s="1778"/>
      <c r="AT681" s="1779">
        <v>0</v>
      </c>
      <c r="AU681" s="1780">
        <v>0</v>
      </c>
      <c r="AV681" s="1781">
        <v>0</v>
      </c>
      <c r="AW681" s="1782" t="s">
        <v>67</v>
      </c>
      <c r="AX681" s="1701" t="s">
        <v>67</v>
      </c>
      <c r="AY681" s="1702" t="s">
        <v>67</v>
      </c>
      <c r="AZ681" s="1703" t="s">
        <v>67</v>
      </c>
      <c r="BA681" s="30" t="s">
        <v>67</v>
      </c>
      <c r="BB681" s="5"/>
      <c r="BC681" s="5"/>
      <c r="BD681" s="11"/>
      <c r="BE681" s="30" t="s">
        <v>67</v>
      </c>
      <c r="BF681" s="310"/>
      <c r="BG681" s="5"/>
      <c r="BH681" s="5"/>
      <c r="BI681" s="5"/>
      <c r="BJ681" s="36"/>
      <c r="BK681" s="1784" t="s">
        <v>67</v>
      </c>
      <c r="BL681" s="1139"/>
      <c r="BM681" s="1785" t="s">
        <v>67</v>
      </c>
      <c r="BN681" s="1786" t="s">
        <v>67</v>
      </c>
      <c r="BO681" s="1786" t="s">
        <v>67</v>
      </c>
      <c r="BP681" s="1787" t="s">
        <v>67</v>
      </c>
      <c r="BQ681" s="1787" t="s">
        <v>67</v>
      </c>
      <c r="BR681" s="1787" t="s">
        <v>67</v>
      </c>
      <c r="BS681" s="1787" t="s">
        <v>67</v>
      </c>
      <c r="BT681" s="1787" t="s">
        <v>67</v>
      </c>
      <c r="BU681" s="1787" t="s">
        <v>67</v>
      </c>
      <c r="BV681" s="1787" t="s">
        <v>67</v>
      </c>
      <c r="BW681" s="1785" t="s">
        <v>67</v>
      </c>
      <c r="BX681" s="13"/>
      <c r="BY681" s="22"/>
      <c r="BZ681" s="22"/>
      <c r="CA681" s="22"/>
      <c r="CB681" s="22"/>
      <c r="CC681" s="22"/>
      <c r="CD681" s="22"/>
      <c r="CE681" s="1246" t="s">
        <v>3947</v>
      </c>
      <c r="CF681" s="866"/>
    </row>
    <row r="682" spans="1:84" ht="98.25" hidden="1" customHeight="1">
      <c r="A682" s="1467"/>
      <c r="B682" s="22"/>
      <c r="C682" s="122"/>
      <c r="D682" s="22"/>
      <c r="E682" s="921"/>
      <c r="F682" s="921"/>
      <c r="G682" s="925"/>
      <c r="H682" s="1793" t="s">
        <v>6333</v>
      </c>
      <c r="I682" s="331"/>
      <c r="J682" s="331"/>
      <c r="K682" s="169">
        <v>2023</v>
      </c>
      <c r="L682" s="1446">
        <v>232022</v>
      </c>
      <c r="M682" s="1446"/>
      <c r="N682" s="170" t="s">
        <v>165</v>
      </c>
      <c r="O682" s="178" t="s">
        <v>5544</v>
      </c>
      <c r="P682" s="172" t="s">
        <v>45</v>
      </c>
      <c r="Q682" s="173" t="s">
        <v>5581</v>
      </c>
      <c r="R682" s="173" t="s">
        <v>2541</v>
      </c>
      <c r="S682" s="174">
        <f>63525.18*1.16</f>
        <v>73689.208799999993</v>
      </c>
      <c r="T682" s="582">
        <v>45133</v>
      </c>
      <c r="U682" s="176">
        <v>45141</v>
      </c>
      <c r="V682" s="177">
        <v>45155</v>
      </c>
      <c r="W682" s="105" t="s">
        <v>67</v>
      </c>
      <c r="X682" s="178" t="s">
        <v>4453</v>
      </c>
      <c r="Y682" s="170" t="s">
        <v>471</v>
      </c>
      <c r="Z682" s="1771" t="s">
        <v>67</v>
      </c>
      <c r="AA682" s="1772" t="s">
        <v>67</v>
      </c>
      <c r="AB682" s="33"/>
      <c r="AC682" s="8"/>
      <c r="AD682" s="4"/>
      <c r="AE682" s="4"/>
      <c r="AF682" s="32"/>
      <c r="AG682" s="1773" t="s">
        <v>67</v>
      </c>
      <c r="AH682" s="1774" t="s">
        <v>67</v>
      </c>
      <c r="AI682" s="1774" t="s">
        <v>67</v>
      </c>
      <c r="AJ682" s="1775" t="s">
        <v>67</v>
      </c>
      <c r="AK682" s="1776" t="s">
        <v>67</v>
      </c>
      <c r="AL682" s="1777" t="s">
        <v>67</v>
      </c>
      <c r="AM682" s="1680" t="s">
        <v>67</v>
      </c>
      <c r="AN682" s="1704"/>
      <c r="AO682" s="1680" t="s">
        <v>67</v>
      </c>
      <c r="AP682" s="1704"/>
      <c r="AQ682" s="1680" t="s">
        <v>67</v>
      </c>
      <c r="AR682" s="1704"/>
      <c r="AS682" s="1778"/>
      <c r="AT682" s="1779">
        <v>0</v>
      </c>
      <c r="AU682" s="1780">
        <v>0</v>
      </c>
      <c r="AV682" s="1781">
        <v>0</v>
      </c>
      <c r="AW682" s="1782" t="s">
        <v>67</v>
      </c>
      <c r="AX682" s="1701" t="s">
        <v>67</v>
      </c>
      <c r="AY682" s="1702" t="s">
        <v>67</v>
      </c>
      <c r="AZ682" s="1703" t="s">
        <v>67</v>
      </c>
      <c r="BA682" s="30" t="s">
        <v>67</v>
      </c>
      <c r="BB682" s="5"/>
      <c r="BC682" s="5"/>
      <c r="BD682" s="11"/>
      <c r="BE682" s="30" t="s">
        <v>67</v>
      </c>
      <c r="BF682" s="310"/>
      <c r="BG682" s="5"/>
      <c r="BH682" s="5"/>
      <c r="BI682" s="5"/>
      <c r="BJ682" s="36"/>
      <c r="BK682" s="1784" t="s">
        <v>67</v>
      </c>
      <c r="BL682" s="1139"/>
      <c r="BM682" s="1785" t="s">
        <v>67</v>
      </c>
      <c r="BN682" s="1786" t="s">
        <v>67</v>
      </c>
      <c r="BO682" s="1786" t="s">
        <v>67</v>
      </c>
      <c r="BP682" s="1787" t="s">
        <v>67</v>
      </c>
      <c r="BQ682" s="1787" t="s">
        <v>67</v>
      </c>
      <c r="BR682" s="1787" t="s">
        <v>67</v>
      </c>
      <c r="BS682" s="1787" t="s">
        <v>67</v>
      </c>
      <c r="BT682" s="1787" t="s">
        <v>67</v>
      </c>
      <c r="BU682" s="1787" t="s">
        <v>67</v>
      </c>
      <c r="BV682" s="1787" t="s">
        <v>67</v>
      </c>
      <c r="BW682" s="1785" t="s">
        <v>67</v>
      </c>
      <c r="BX682" s="13"/>
      <c r="BY682" s="22"/>
      <c r="BZ682" s="22"/>
      <c r="CA682" s="22"/>
      <c r="CB682" s="22"/>
      <c r="CC682" s="22"/>
      <c r="CD682" s="22"/>
      <c r="CE682" s="1246" t="s">
        <v>3947</v>
      </c>
      <c r="CF682" s="866"/>
    </row>
    <row r="683" spans="1:84" ht="124.5" hidden="1" customHeight="1">
      <c r="A683" s="1467"/>
      <c r="B683" s="22"/>
      <c r="C683" s="122"/>
      <c r="D683" s="22"/>
      <c r="E683" s="921"/>
      <c r="F683" s="921"/>
      <c r="G683" s="925"/>
      <c r="H683" s="1793" t="s">
        <v>6333</v>
      </c>
      <c r="I683" s="331"/>
      <c r="J683" s="331"/>
      <c r="K683" s="169">
        <v>2023</v>
      </c>
      <c r="L683" s="1446">
        <v>232023</v>
      </c>
      <c r="M683" s="1446"/>
      <c r="N683" s="170" t="s">
        <v>165</v>
      </c>
      <c r="O683" s="178" t="s">
        <v>5545</v>
      </c>
      <c r="P683" s="172" t="s">
        <v>45</v>
      </c>
      <c r="Q683" s="173" t="s">
        <v>5582</v>
      </c>
      <c r="R683" s="173" t="s">
        <v>2578</v>
      </c>
      <c r="S683" s="174">
        <f>139537.27*1.16</f>
        <v>161863.23319999999</v>
      </c>
      <c r="T683" s="582">
        <v>45148</v>
      </c>
      <c r="U683" s="176">
        <v>45152</v>
      </c>
      <c r="V683" s="177">
        <v>45163</v>
      </c>
      <c r="W683" s="105" t="s">
        <v>67</v>
      </c>
      <c r="X683" s="178" t="s">
        <v>4453</v>
      </c>
      <c r="Y683" s="170" t="s">
        <v>471</v>
      </c>
      <c r="Z683" s="1771" t="s">
        <v>67</v>
      </c>
      <c r="AA683" s="1772" t="s">
        <v>67</v>
      </c>
      <c r="AB683" s="33"/>
      <c r="AC683" s="8"/>
      <c r="AD683" s="4"/>
      <c r="AE683" s="4"/>
      <c r="AF683" s="32"/>
      <c r="AG683" s="1773" t="s">
        <v>67</v>
      </c>
      <c r="AH683" s="1774" t="s">
        <v>67</v>
      </c>
      <c r="AI683" s="1774" t="s">
        <v>67</v>
      </c>
      <c r="AJ683" s="1775" t="s">
        <v>67</v>
      </c>
      <c r="AK683" s="1776" t="s">
        <v>67</v>
      </c>
      <c r="AL683" s="1777" t="s">
        <v>67</v>
      </c>
      <c r="AM683" s="1680" t="s">
        <v>67</v>
      </c>
      <c r="AN683" s="1704"/>
      <c r="AO683" s="1680" t="s">
        <v>67</v>
      </c>
      <c r="AP683" s="1704"/>
      <c r="AQ683" s="1680" t="s">
        <v>67</v>
      </c>
      <c r="AR683" s="1704"/>
      <c r="AS683" s="1778"/>
      <c r="AT683" s="1779">
        <v>0</v>
      </c>
      <c r="AU683" s="1780">
        <v>0</v>
      </c>
      <c r="AV683" s="1781">
        <v>0</v>
      </c>
      <c r="AW683" s="1782" t="s">
        <v>67</v>
      </c>
      <c r="AX683" s="1701" t="s">
        <v>67</v>
      </c>
      <c r="AY683" s="1702" t="s">
        <v>67</v>
      </c>
      <c r="AZ683" s="1703" t="s">
        <v>67</v>
      </c>
      <c r="BA683" s="30" t="s">
        <v>67</v>
      </c>
      <c r="BB683" s="5"/>
      <c r="BC683" s="5"/>
      <c r="BD683" s="11"/>
      <c r="BE683" s="30" t="s">
        <v>67</v>
      </c>
      <c r="BF683" s="310"/>
      <c r="BG683" s="5"/>
      <c r="BH683" s="5"/>
      <c r="BI683" s="5"/>
      <c r="BJ683" s="36"/>
      <c r="BK683" s="1784" t="s">
        <v>67</v>
      </c>
      <c r="BL683" s="1139"/>
      <c r="BM683" s="1785" t="s">
        <v>67</v>
      </c>
      <c r="BN683" s="1786" t="s">
        <v>67</v>
      </c>
      <c r="BO683" s="1786" t="s">
        <v>67</v>
      </c>
      <c r="BP683" s="1787" t="s">
        <v>67</v>
      </c>
      <c r="BQ683" s="1787" t="s">
        <v>67</v>
      </c>
      <c r="BR683" s="1787" t="s">
        <v>67</v>
      </c>
      <c r="BS683" s="1787" t="s">
        <v>67</v>
      </c>
      <c r="BT683" s="1787" t="s">
        <v>67</v>
      </c>
      <c r="BU683" s="1787" t="s">
        <v>67</v>
      </c>
      <c r="BV683" s="1787" t="s">
        <v>67</v>
      </c>
      <c r="BW683" s="1785" t="s">
        <v>67</v>
      </c>
      <c r="BX683" s="13"/>
      <c r="BY683" s="22"/>
      <c r="BZ683" s="22"/>
      <c r="CA683" s="22"/>
      <c r="CB683" s="22"/>
      <c r="CC683" s="22"/>
      <c r="CD683" s="22"/>
      <c r="CE683" s="1246" t="s">
        <v>3947</v>
      </c>
      <c r="CF683" s="866"/>
    </row>
    <row r="684" spans="1:84" ht="138" hidden="1" customHeight="1">
      <c r="A684" s="1467"/>
      <c r="B684" s="22"/>
      <c r="C684" s="122"/>
      <c r="D684" s="22"/>
      <c r="E684" s="921"/>
      <c r="F684" s="921"/>
      <c r="G684" s="925"/>
      <c r="H684" s="1793" t="s">
        <v>6333</v>
      </c>
      <c r="I684" s="331"/>
      <c r="J684" s="331"/>
      <c r="K684" s="169">
        <v>2023</v>
      </c>
      <c r="L684" s="1446">
        <v>232024</v>
      </c>
      <c r="M684" s="1446"/>
      <c r="N684" s="170" t="s">
        <v>165</v>
      </c>
      <c r="O684" s="178" t="s">
        <v>5546</v>
      </c>
      <c r="P684" s="172" t="s">
        <v>45</v>
      </c>
      <c r="Q684" s="173" t="s">
        <v>5583</v>
      </c>
      <c r="R684" s="173" t="s">
        <v>1975</v>
      </c>
      <c r="S684" s="174">
        <f>30000*1.16</f>
        <v>34800</v>
      </c>
      <c r="T684" s="582">
        <v>45140</v>
      </c>
      <c r="U684" s="176">
        <v>45141</v>
      </c>
      <c r="V684" s="177">
        <v>45143</v>
      </c>
      <c r="W684" s="105" t="s">
        <v>67</v>
      </c>
      <c r="X684" s="178" t="s">
        <v>190</v>
      </c>
      <c r="Y684" s="170" t="s">
        <v>471</v>
      </c>
      <c r="Z684" s="1771" t="s">
        <v>67</v>
      </c>
      <c r="AA684" s="1772" t="s">
        <v>67</v>
      </c>
      <c r="AB684" s="33"/>
      <c r="AC684" s="8"/>
      <c r="AD684" s="4"/>
      <c r="AE684" s="4"/>
      <c r="AF684" s="32"/>
      <c r="AG684" s="1773" t="s">
        <v>67</v>
      </c>
      <c r="AH684" s="1774" t="s">
        <v>67</v>
      </c>
      <c r="AI684" s="1774" t="s">
        <v>67</v>
      </c>
      <c r="AJ684" s="1775" t="s">
        <v>67</v>
      </c>
      <c r="AK684" s="1776" t="s">
        <v>67</v>
      </c>
      <c r="AL684" s="1777" t="s">
        <v>67</v>
      </c>
      <c r="AM684" s="1680" t="s">
        <v>67</v>
      </c>
      <c r="AN684" s="1704"/>
      <c r="AO684" s="1680" t="s">
        <v>67</v>
      </c>
      <c r="AP684" s="1704"/>
      <c r="AQ684" s="1680" t="s">
        <v>67</v>
      </c>
      <c r="AR684" s="1704"/>
      <c r="AS684" s="1778"/>
      <c r="AT684" s="1779">
        <v>0</v>
      </c>
      <c r="AU684" s="1780">
        <v>0</v>
      </c>
      <c r="AV684" s="1781">
        <v>0</v>
      </c>
      <c r="AW684" s="1782" t="s">
        <v>67</v>
      </c>
      <c r="AX684" s="1701" t="s">
        <v>67</v>
      </c>
      <c r="AY684" s="1702" t="s">
        <v>67</v>
      </c>
      <c r="AZ684" s="1703" t="s">
        <v>67</v>
      </c>
      <c r="BA684" s="30" t="s">
        <v>67</v>
      </c>
      <c r="BB684" s="5"/>
      <c r="BC684" s="5"/>
      <c r="BD684" s="11"/>
      <c r="BE684" s="30" t="s">
        <v>67</v>
      </c>
      <c r="BF684" s="310"/>
      <c r="BG684" s="5"/>
      <c r="BH684" s="5"/>
      <c r="BI684" s="5"/>
      <c r="BJ684" s="36"/>
      <c r="BK684" s="1784" t="s">
        <v>67</v>
      </c>
      <c r="BL684" s="1139"/>
      <c r="BM684" s="1785" t="s">
        <v>67</v>
      </c>
      <c r="BN684" s="1786" t="s">
        <v>67</v>
      </c>
      <c r="BO684" s="1786" t="s">
        <v>67</v>
      </c>
      <c r="BP684" s="1787" t="s">
        <v>67</v>
      </c>
      <c r="BQ684" s="1787" t="s">
        <v>67</v>
      </c>
      <c r="BR684" s="1787" t="s">
        <v>67</v>
      </c>
      <c r="BS684" s="1787" t="s">
        <v>67</v>
      </c>
      <c r="BT684" s="1787" t="s">
        <v>67</v>
      </c>
      <c r="BU684" s="1787" t="s">
        <v>67</v>
      </c>
      <c r="BV684" s="1787" t="s">
        <v>67</v>
      </c>
      <c r="BW684" s="1785" t="s">
        <v>67</v>
      </c>
      <c r="BX684" s="13"/>
      <c r="BY684" s="22"/>
      <c r="BZ684" s="22"/>
      <c r="CA684" s="22"/>
      <c r="CB684" s="22"/>
      <c r="CC684" s="22"/>
      <c r="CD684" s="22"/>
      <c r="CE684" s="1246" t="s">
        <v>3947</v>
      </c>
      <c r="CF684" s="866"/>
    </row>
    <row r="685" spans="1:84" ht="155.25" hidden="1" customHeight="1">
      <c r="A685" s="1467"/>
      <c r="B685" s="22"/>
      <c r="C685" s="122"/>
      <c r="D685" s="22"/>
      <c r="E685" s="921"/>
      <c r="F685" s="921"/>
      <c r="G685" s="925"/>
      <c r="H685" s="1793" t="s">
        <v>6333</v>
      </c>
      <c r="I685" s="331"/>
      <c r="J685" s="331"/>
      <c r="K685" s="169">
        <v>2023</v>
      </c>
      <c r="L685" s="1446">
        <v>232025</v>
      </c>
      <c r="M685" s="1446"/>
      <c r="N685" s="170" t="s">
        <v>165</v>
      </c>
      <c r="O685" s="178" t="s">
        <v>5547</v>
      </c>
      <c r="P685" s="172" t="s">
        <v>45</v>
      </c>
      <c r="Q685" s="173" t="s">
        <v>5584</v>
      </c>
      <c r="R685" s="173" t="s">
        <v>1975</v>
      </c>
      <c r="S685" s="174">
        <f>47010*1.16</f>
        <v>54531.6</v>
      </c>
      <c r="T685" s="582">
        <v>45140</v>
      </c>
      <c r="U685" s="176">
        <v>45152</v>
      </c>
      <c r="V685" s="177">
        <v>45155</v>
      </c>
      <c r="W685" s="105" t="s">
        <v>67</v>
      </c>
      <c r="X685" s="178" t="s">
        <v>190</v>
      </c>
      <c r="Y685" s="170" t="s">
        <v>471</v>
      </c>
      <c r="Z685" s="1771" t="s">
        <v>67</v>
      </c>
      <c r="AA685" s="1772" t="s">
        <v>67</v>
      </c>
      <c r="AB685" s="33"/>
      <c r="AC685" s="8"/>
      <c r="AD685" s="4"/>
      <c r="AE685" s="4"/>
      <c r="AF685" s="32"/>
      <c r="AG685" s="1773" t="s">
        <v>67</v>
      </c>
      <c r="AH685" s="1774" t="s">
        <v>67</v>
      </c>
      <c r="AI685" s="1774" t="s">
        <v>67</v>
      </c>
      <c r="AJ685" s="1775" t="s">
        <v>67</v>
      </c>
      <c r="AK685" s="1776" t="s">
        <v>67</v>
      </c>
      <c r="AL685" s="1777" t="s">
        <v>67</v>
      </c>
      <c r="AM685" s="1680" t="s">
        <v>67</v>
      </c>
      <c r="AN685" s="1704"/>
      <c r="AO685" s="1680" t="s">
        <v>67</v>
      </c>
      <c r="AP685" s="1704"/>
      <c r="AQ685" s="1680" t="s">
        <v>67</v>
      </c>
      <c r="AR685" s="1704"/>
      <c r="AS685" s="1778"/>
      <c r="AT685" s="1779">
        <v>0</v>
      </c>
      <c r="AU685" s="1780">
        <v>0</v>
      </c>
      <c r="AV685" s="1781">
        <v>0</v>
      </c>
      <c r="AW685" s="1782" t="s">
        <v>67</v>
      </c>
      <c r="AX685" s="1701" t="s">
        <v>67</v>
      </c>
      <c r="AY685" s="1702" t="s">
        <v>67</v>
      </c>
      <c r="AZ685" s="1703" t="s">
        <v>67</v>
      </c>
      <c r="BA685" s="30" t="s">
        <v>67</v>
      </c>
      <c r="BB685" s="5"/>
      <c r="BC685" s="5"/>
      <c r="BD685" s="11"/>
      <c r="BE685" s="30" t="s">
        <v>67</v>
      </c>
      <c r="BF685" s="310"/>
      <c r="BG685" s="5"/>
      <c r="BH685" s="5"/>
      <c r="BI685" s="5"/>
      <c r="BJ685" s="36"/>
      <c r="BK685" s="1784" t="s">
        <v>67</v>
      </c>
      <c r="BL685" s="1139"/>
      <c r="BM685" s="1785" t="s">
        <v>67</v>
      </c>
      <c r="BN685" s="1786" t="s">
        <v>67</v>
      </c>
      <c r="BO685" s="1786" t="s">
        <v>67</v>
      </c>
      <c r="BP685" s="1787" t="s">
        <v>67</v>
      </c>
      <c r="BQ685" s="1787" t="s">
        <v>67</v>
      </c>
      <c r="BR685" s="1787" t="s">
        <v>67</v>
      </c>
      <c r="BS685" s="1787" t="s">
        <v>67</v>
      </c>
      <c r="BT685" s="1787" t="s">
        <v>67</v>
      </c>
      <c r="BU685" s="1787" t="s">
        <v>67</v>
      </c>
      <c r="BV685" s="1787" t="s">
        <v>67</v>
      </c>
      <c r="BW685" s="1785" t="s">
        <v>67</v>
      </c>
      <c r="BX685" s="13"/>
      <c r="BY685" s="22"/>
      <c r="BZ685" s="22"/>
      <c r="CA685" s="22"/>
      <c r="CB685" s="22"/>
      <c r="CC685" s="22"/>
      <c r="CD685" s="22"/>
      <c r="CE685" s="1246" t="s">
        <v>3947</v>
      </c>
      <c r="CF685" s="866"/>
    </row>
    <row r="686" spans="1:84" ht="143.25" hidden="1" customHeight="1">
      <c r="A686" s="1467"/>
      <c r="B686" s="22"/>
      <c r="C686" s="122"/>
      <c r="D686" s="22"/>
      <c r="E686" s="921"/>
      <c r="F686" s="921"/>
      <c r="G686" s="925"/>
      <c r="H686" s="1793" t="s">
        <v>6333</v>
      </c>
      <c r="I686" s="331"/>
      <c r="J686" s="331"/>
      <c r="K686" s="169">
        <v>2023</v>
      </c>
      <c r="L686" s="1446">
        <v>232026</v>
      </c>
      <c r="M686" s="1446"/>
      <c r="N686" s="170" t="s">
        <v>165</v>
      </c>
      <c r="O686" s="178" t="s">
        <v>5548</v>
      </c>
      <c r="P686" s="172" t="s">
        <v>45</v>
      </c>
      <c r="Q686" s="173" t="s">
        <v>5585</v>
      </c>
      <c r="R686" s="173" t="s">
        <v>1975</v>
      </c>
      <c r="S686" s="174">
        <f>30000*1.16</f>
        <v>34800</v>
      </c>
      <c r="T686" s="582">
        <v>45140</v>
      </c>
      <c r="U686" s="176">
        <v>45144</v>
      </c>
      <c r="V686" s="177">
        <v>45146</v>
      </c>
      <c r="W686" s="105" t="s">
        <v>67</v>
      </c>
      <c r="X686" s="178" t="s">
        <v>190</v>
      </c>
      <c r="Y686" s="170" t="s">
        <v>471</v>
      </c>
      <c r="Z686" s="1771" t="s">
        <v>67</v>
      </c>
      <c r="AA686" s="1772" t="s">
        <v>67</v>
      </c>
      <c r="AB686" s="33"/>
      <c r="AC686" s="8"/>
      <c r="AD686" s="4"/>
      <c r="AE686" s="4"/>
      <c r="AF686" s="32"/>
      <c r="AG686" s="1773" t="s">
        <v>67</v>
      </c>
      <c r="AH686" s="1774" t="s">
        <v>67</v>
      </c>
      <c r="AI686" s="1774" t="s">
        <v>67</v>
      </c>
      <c r="AJ686" s="1775" t="s">
        <v>67</v>
      </c>
      <c r="AK686" s="1776" t="s">
        <v>67</v>
      </c>
      <c r="AL686" s="1777" t="s">
        <v>67</v>
      </c>
      <c r="AM686" s="1680" t="s">
        <v>67</v>
      </c>
      <c r="AN686" s="1704"/>
      <c r="AO686" s="1680" t="s">
        <v>67</v>
      </c>
      <c r="AP686" s="1704"/>
      <c r="AQ686" s="1680" t="s">
        <v>67</v>
      </c>
      <c r="AR686" s="1704"/>
      <c r="AS686" s="1778"/>
      <c r="AT686" s="1779">
        <v>0</v>
      </c>
      <c r="AU686" s="1780">
        <v>0</v>
      </c>
      <c r="AV686" s="1781">
        <v>0</v>
      </c>
      <c r="AW686" s="1782" t="s">
        <v>67</v>
      </c>
      <c r="AX686" s="1701" t="s">
        <v>67</v>
      </c>
      <c r="AY686" s="1702" t="s">
        <v>67</v>
      </c>
      <c r="AZ686" s="1703" t="s">
        <v>67</v>
      </c>
      <c r="BA686" s="30" t="s">
        <v>67</v>
      </c>
      <c r="BB686" s="5"/>
      <c r="BC686" s="5"/>
      <c r="BD686" s="11"/>
      <c r="BE686" s="30" t="s">
        <v>67</v>
      </c>
      <c r="BF686" s="310"/>
      <c r="BG686" s="5"/>
      <c r="BH686" s="5"/>
      <c r="BI686" s="5"/>
      <c r="BJ686" s="36"/>
      <c r="BK686" s="1784" t="s">
        <v>67</v>
      </c>
      <c r="BL686" s="1139"/>
      <c r="BM686" s="1785" t="s">
        <v>67</v>
      </c>
      <c r="BN686" s="1786" t="s">
        <v>67</v>
      </c>
      <c r="BO686" s="1786" t="s">
        <v>67</v>
      </c>
      <c r="BP686" s="1787" t="s">
        <v>67</v>
      </c>
      <c r="BQ686" s="1787" t="s">
        <v>67</v>
      </c>
      <c r="BR686" s="1787" t="s">
        <v>67</v>
      </c>
      <c r="BS686" s="1787" t="s">
        <v>67</v>
      </c>
      <c r="BT686" s="1787" t="s">
        <v>67</v>
      </c>
      <c r="BU686" s="1787" t="s">
        <v>67</v>
      </c>
      <c r="BV686" s="1787" t="s">
        <v>67</v>
      </c>
      <c r="BW686" s="1785" t="s">
        <v>67</v>
      </c>
      <c r="BX686" s="13"/>
      <c r="BY686" s="22"/>
      <c r="BZ686" s="22"/>
      <c r="CA686" s="22"/>
      <c r="CB686" s="22"/>
      <c r="CC686" s="22"/>
      <c r="CD686" s="22"/>
      <c r="CE686" s="1246" t="s">
        <v>3947</v>
      </c>
      <c r="CF686" s="866"/>
    </row>
    <row r="687" spans="1:84" ht="133.5" hidden="1" customHeight="1">
      <c r="A687" s="1467"/>
      <c r="B687" s="22"/>
      <c r="C687" s="122"/>
      <c r="D687" s="22"/>
      <c r="E687" s="921"/>
      <c r="F687" s="921"/>
      <c r="G687" s="925"/>
      <c r="H687" s="1793" t="s">
        <v>6333</v>
      </c>
      <c r="I687" s="331"/>
      <c r="J687" s="331"/>
      <c r="K687" s="169">
        <v>2023</v>
      </c>
      <c r="L687" s="1446">
        <v>232027</v>
      </c>
      <c r="M687" s="1446"/>
      <c r="N687" s="170" t="s">
        <v>165</v>
      </c>
      <c r="O687" s="178" t="s">
        <v>5549</v>
      </c>
      <c r="P687" s="172" t="s">
        <v>45</v>
      </c>
      <c r="Q687" s="173" t="s">
        <v>5939</v>
      </c>
      <c r="R687" s="173" t="s">
        <v>4412</v>
      </c>
      <c r="S687" s="174">
        <v>3500</v>
      </c>
      <c r="T687" s="175">
        <v>45140</v>
      </c>
      <c r="U687" s="176">
        <v>45142</v>
      </c>
      <c r="V687" s="177">
        <v>45142</v>
      </c>
      <c r="W687" s="105" t="s">
        <v>67</v>
      </c>
      <c r="X687" s="178" t="s">
        <v>5682</v>
      </c>
      <c r="Y687" s="170" t="s">
        <v>471</v>
      </c>
      <c r="Z687" s="1771" t="s">
        <v>67</v>
      </c>
      <c r="AA687" s="1772" t="s">
        <v>67</v>
      </c>
      <c r="AB687" s="33"/>
      <c r="AC687" s="8"/>
      <c r="AD687" s="4"/>
      <c r="AE687" s="4"/>
      <c r="AF687" s="32"/>
      <c r="AG687" s="1773" t="s">
        <v>67</v>
      </c>
      <c r="AH687" s="1774" t="s">
        <v>67</v>
      </c>
      <c r="AI687" s="1774" t="s">
        <v>67</v>
      </c>
      <c r="AJ687" s="1775" t="s">
        <v>67</v>
      </c>
      <c r="AK687" s="1776" t="s">
        <v>67</v>
      </c>
      <c r="AL687" s="1777" t="s">
        <v>67</v>
      </c>
      <c r="AM687" s="1680" t="s">
        <v>67</v>
      </c>
      <c r="AN687" s="1704"/>
      <c r="AO687" s="1680" t="s">
        <v>67</v>
      </c>
      <c r="AP687" s="1704"/>
      <c r="AQ687" s="1680" t="s">
        <v>67</v>
      </c>
      <c r="AR687" s="1704"/>
      <c r="AS687" s="1778"/>
      <c r="AT687" s="1779">
        <v>0</v>
      </c>
      <c r="AU687" s="1780">
        <v>0</v>
      </c>
      <c r="AV687" s="1781">
        <v>0</v>
      </c>
      <c r="AW687" s="1782" t="s">
        <v>67</v>
      </c>
      <c r="AX687" s="1701" t="s">
        <v>67</v>
      </c>
      <c r="AY687" s="1702" t="s">
        <v>67</v>
      </c>
      <c r="AZ687" s="1703" t="s">
        <v>67</v>
      </c>
      <c r="BA687" s="30" t="s">
        <v>67</v>
      </c>
      <c r="BB687" s="5"/>
      <c r="BC687" s="5"/>
      <c r="BD687" s="11"/>
      <c r="BE687" s="30" t="s">
        <v>67</v>
      </c>
      <c r="BF687" s="310"/>
      <c r="BG687" s="5"/>
      <c r="BH687" s="5"/>
      <c r="BI687" s="5"/>
      <c r="BJ687" s="36"/>
      <c r="BK687" s="1784" t="s">
        <v>67</v>
      </c>
      <c r="BL687" s="1139"/>
      <c r="BM687" s="1785" t="s">
        <v>67</v>
      </c>
      <c r="BN687" s="1786" t="s">
        <v>67</v>
      </c>
      <c r="BO687" s="1786" t="s">
        <v>67</v>
      </c>
      <c r="BP687" s="1787" t="s">
        <v>67</v>
      </c>
      <c r="BQ687" s="1787" t="s">
        <v>67</v>
      </c>
      <c r="BR687" s="1787" t="s">
        <v>67</v>
      </c>
      <c r="BS687" s="1787" t="s">
        <v>67</v>
      </c>
      <c r="BT687" s="1787" t="s">
        <v>67</v>
      </c>
      <c r="BU687" s="1787" t="s">
        <v>67</v>
      </c>
      <c r="BV687" s="1787" t="s">
        <v>67</v>
      </c>
      <c r="BW687" s="1785" t="s">
        <v>67</v>
      </c>
      <c r="BX687" s="13"/>
      <c r="BY687" s="22"/>
      <c r="BZ687" s="22"/>
      <c r="CA687" s="22"/>
      <c r="CB687" s="22"/>
      <c r="CC687" s="22"/>
      <c r="CD687" s="22"/>
      <c r="CE687" s="1246" t="s">
        <v>3947</v>
      </c>
      <c r="CF687" s="866"/>
    </row>
    <row r="688" spans="1:84" ht="147.75" hidden="1" customHeight="1">
      <c r="A688" s="1467"/>
      <c r="B688" s="22"/>
      <c r="C688" s="122"/>
      <c r="D688" s="22"/>
      <c r="E688" s="921"/>
      <c r="F688" s="921"/>
      <c r="G688" s="925"/>
      <c r="H688" s="1793" t="s">
        <v>6333</v>
      </c>
      <c r="I688" s="331"/>
      <c r="J688" s="331"/>
      <c r="K688" s="169">
        <v>2023</v>
      </c>
      <c r="L688" s="1446">
        <v>232028</v>
      </c>
      <c r="M688" s="1446"/>
      <c r="N688" s="170" t="s">
        <v>165</v>
      </c>
      <c r="O688" s="178" t="s">
        <v>5550</v>
      </c>
      <c r="P688" s="172" t="s">
        <v>45</v>
      </c>
      <c r="Q688" s="173" t="s">
        <v>5940</v>
      </c>
      <c r="R688" s="173" t="s">
        <v>4412</v>
      </c>
      <c r="S688" s="174">
        <v>3500</v>
      </c>
      <c r="T688" s="175">
        <v>45140</v>
      </c>
      <c r="U688" s="176">
        <v>45143</v>
      </c>
      <c r="V688" s="177">
        <v>45143</v>
      </c>
      <c r="W688" s="105" t="s">
        <v>67</v>
      </c>
      <c r="X688" s="178" t="s">
        <v>5682</v>
      </c>
      <c r="Y688" s="170" t="s">
        <v>471</v>
      </c>
      <c r="Z688" s="1771" t="s">
        <v>67</v>
      </c>
      <c r="AA688" s="1772" t="s">
        <v>67</v>
      </c>
      <c r="AB688" s="33"/>
      <c r="AC688" s="8"/>
      <c r="AD688" s="4"/>
      <c r="AE688" s="4"/>
      <c r="AF688" s="32"/>
      <c r="AG688" s="1773" t="s">
        <v>67</v>
      </c>
      <c r="AH688" s="1774" t="s">
        <v>67</v>
      </c>
      <c r="AI688" s="1774" t="s">
        <v>67</v>
      </c>
      <c r="AJ688" s="1775" t="s">
        <v>67</v>
      </c>
      <c r="AK688" s="1776" t="s">
        <v>67</v>
      </c>
      <c r="AL688" s="1777" t="s">
        <v>67</v>
      </c>
      <c r="AM688" s="1680" t="s">
        <v>67</v>
      </c>
      <c r="AN688" s="1704"/>
      <c r="AO688" s="1680" t="s">
        <v>67</v>
      </c>
      <c r="AP688" s="1704"/>
      <c r="AQ688" s="1680" t="s">
        <v>67</v>
      </c>
      <c r="AR688" s="1704"/>
      <c r="AS688" s="1778"/>
      <c r="AT688" s="1779">
        <v>0</v>
      </c>
      <c r="AU688" s="1780">
        <v>0</v>
      </c>
      <c r="AV688" s="1781">
        <v>0</v>
      </c>
      <c r="AW688" s="1782" t="s">
        <v>67</v>
      </c>
      <c r="AX688" s="1701" t="s">
        <v>67</v>
      </c>
      <c r="AY688" s="1702" t="s">
        <v>67</v>
      </c>
      <c r="AZ688" s="1703" t="s">
        <v>67</v>
      </c>
      <c r="BA688" s="30" t="s">
        <v>67</v>
      </c>
      <c r="BB688" s="5"/>
      <c r="BC688" s="5"/>
      <c r="BD688" s="11"/>
      <c r="BE688" s="30" t="s">
        <v>67</v>
      </c>
      <c r="BF688" s="310"/>
      <c r="BG688" s="5"/>
      <c r="BH688" s="5"/>
      <c r="BI688" s="5"/>
      <c r="BJ688" s="36"/>
      <c r="BK688" s="1784" t="s">
        <v>67</v>
      </c>
      <c r="BL688" s="1139"/>
      <c r="BM688" s="1785" t="s">
        <v>67</v>
      </c>
      <c r="BN688" s="1786" t="s">
        <v>67</v>
      </c>
      <c r="BO688" s="1786" t="s">
        <v>67</v>
      </c>
      <c r="BP688" s="1787" t="s">
        <v>67</v>
      </c>
      <c r="BQ688" s="1787" t="s">
        <v>67</v>
      </c>
      <c r="BR688" s="1787" t="s">
        <v>67</v>
      </c>
      <c r="BS688" s="1787" t="s">
        <v>67</v>
      </c>
      <c r="BT688" s="1787" t="s">
        <v>67</v>
      </c>
      <c r="BU688" s="1787" t="s">
        <v>67</v>
      </c>
      <c r="BV688" s="1787" t="s">
        <v>67</v>
      </c>
      <c r="BW688" s="1785" t="s">
        <v>67</v>
      </c>
      <c r="BX688" s="13"/>
      <c r="BY688" s="22"/>
      <c r="BZ688" s="22"/>
      <c r="CA688" s="22"/>
      <c r="CB688" s="22"/>
      <c r="CC688" s="22"/>
      <c r="CD688" s="22"/>
      <c r="CE688" s="1246" t="s">
        <v>3947</v>
      </c>
      <c r="CF688" s="866"/>
    </row>
    <row r="689" spans="1:84" ht="128.25" hidden="1" customHeight="1">
      <c r="A689" s="1467"/>
      <c r="B689" s="22"/>
      <c r="C689" s="122"/>
      <c r="D689" s="22"/>
      <c r="E689" s="921"/>
      <c r="F689" s="921"/>
      <c r="G689" s="925"/>
      <c r="H689" s="1793" t="s">
        <v>6333</v>
      </c>
      <c r="I689" s="331"/>
      <c r="J689" s="331"/>
      <c r="K689" s="169">
        <v>2023</v>
      </c>
      <c r="L689" s="1446">
        <v>232029</v>
      </c>
      <c r="M689" s="1446"/>
      <c r="N689" s="170" t="s">
        <v>165</v>
      </c>
      <c r="O689" s="178" t="s">
        <v>5551</v>
      </c>
      <c r="P689" s="172" t="s">
        <v>45</v>
      </c>
      <c r="Q689" s="173" t="s">
        <v>5941</v>
      </c>
      <c r="R689" s="173" t="s">
        <v>1975</v>
      </c>
      <c r="S689" s="174">
        <v>3500</v>
      </c>
      <c r="T689" s="175">
        <v>45140</v>
      </c>
      <c r="U689" s="176">
        <v>45145</v>
      </c>
      <c r="V689" s="177">
        <v>45145</v>
      </c>
      <c r="W689" s="105" t="s">
        <v>67</v>
      </c>
      <c r="X689" s="178" t="s">
        <v>5682</v>
      </c>
      <c r="Y689" s="170" t="s">
        <v>471</v>
      </c>
      <c r="Z689" s="1771" t="s">
        <v>67</v>
      </c>
      <c r="AA689" s="1772" t="s">
        <v>67</v>
      </c>
      <c r="AB689" s="33"/>
      <c r="AC689" s="8"/>
      <c r="AD689" s="4"/>
      <c r="AE689" s="4"/>
      <c r="AF689" s="32"/>
      <c r="AG689" s="1773" t="s">
        <v>67</v>
      </c>
      <c r="AH689" s="1774" t="s">
        <v>67</v>
      </c>
      <c r="AI689" s="1774" t="s">
        <v>67</v>
      </c>
      <c r="AJ689" s="1775" t="s">
        <v>67</v>
      </c>
      <c r="AK689" s="1776" t="s">
        <v>67</v>
      </c>
      <c r="AL689" s="1777" t="s">
        <v>67</v>
      </c>
      <c r="AM689" s="1680" t="s">
        <v>67</v>
      </c>
      <c r="AN689" s="1704"/>
      <c r="AO689" s="1680" t="s">
        <v>67</v>
      </c>
      <c r="AP689" s="1704"/>
      <c r="AQ689" s="1680" t="s">
        <v>67</v>
      </c>
      <c r="AR689" s="1704"/>
      <c r="AS689" s="1778"/>
      <c r="AT689" s="1779">
        <v>0</v>
      </c>
      <c r="AU689" s="1780">
        <v>0</v>
      </c>
      <c r="AV689" s="1781">
        <v>0</v>
      </c>
      <c r="AW689" s="1782" t="s">
        <v>67</v>
      </c>
      <c r="AX689" s="1701" t="s">
        <v>67</v>
      </c>
      <c r="AY689" s="1702" t="s">
        <v>67</v>
      </c>
      <c r="AZ689" s="1703" t="s">
        <v>67</v>
      </c>
      <c r="BA689" s="30" t="s">
        <v>67</v>
      </c>
      <c r="BB689" s="5"/>
      <c r="BC689" s="5"/>
      <c r="BD689" s="11"/>
      <c r="BE689" s="30" t="s">
        <v>67</v>
      </c>
      <c r="BF689" s="310"/>
      <c r="BG689" s="5"/>
      <c r="BH689" s="5"/>
      <c r="BI689" s="5"/>
      <c r="BJ689" s="36"/>
      <c r="BK689" s="1784" t="s">
        <v>67</v>
      </c>
      <c r="BL689" s="1139"/>
      <c r="BM689" s="1785" t="s">
        <v>67</v>
      </c>
      <c r="BN689" s="1786" t="s">
        <v>67</v>
      </c>
      <c r="BO689" s="1786" t="s">
        <v>67</v>
      </c>
      <c r="BP689" s="1787" t="s">
        <v>67</v>
      </c>
      <c r="BQ689" s="1787" t="s">
        <v>67</v>
      </c>
      <c r="BR689" s="1787" t="s">
        <v>67</v>
      </c>
      <c r="BS689" s="1787" t="s">
        <v>67</v>
      </c>
      <c r="BT689" s="1787" t="s">
        <v>67</v>
      </c>
      <c r="BU689" s="1787" t="s">
        <v>67</v>
      </c>
      <c r="BV689" s="1787" t="s">
        <v>67</v>
      </c>
      <c r="BW689" s="1785" t="s">
        <v>67</v>
      </c>
      <c r="BX689" s="13"/>
      <c r="BY689" s="22"/>
      <c r="BZ689" s="22"/>
      <c r="CA689" s="22"/>
      <c r="CB689" s="22"/>
      <c r="CC689" s="22"/>
      <c r="CD689" s="22"/>
      <c r="CE689" s="1246" t="s">
        <v>3947</v>
      </c>
      <c r="CF689" s="866"/>
    </row>
    <row r="690" spans="1:84" ht="137.25" hidden="1" customHeight="1">
      <c r="A690" s="1467"/>
      <c r="B690" s="22"/>
      <c r="C690" s="122"/>
      <c r="D690" s="22"/>
      <c r="E690" s="921"/>
      <c r="F690" s="921"/>
      <c r="G690" s="925"/>
      <c r="H690" s="1793" t="s">
        <v>6333</v>
      </c>
      <c r="I690" s="331"/>
      <c r="J690" s="331"/>
      <c r="K690" s="169">
        <v>2023</v>
      </c>
      <c r="L690" s="1446">
        <v>232030</v>
      </c>
      <c r="M690" s="1446"/>
      <c r="N690" s="170" t="s">
        <v>165</v>
      </c>
      <c r="O690" s="178" t="s">
        <v>5552</v>
      </c>
      <c r="P690" s="172" t="s">
        <v>45</v>
      </c>
      <c r="Q690" s="173" t="s">
        <v>5942</v>
      </c>
      <c r="R690" s="173" t="s">
        <v>4412</v>
      </c>
      <c r="S690" s="174">
        <f>43525.52*1.16</f>
        <v>50489.60319999999</v>
      </c>
      <c r="T690" s="175">
        <v>45168</v>
      </c>
      <c r="U690" s="176">
        <v>45175</v>
      </c>
      <c r="V690" s="177">
        <v>45184</v>
      </c>
      <c r="W690" s="105" t="s">
        <v>67</v>
      </c>
      <c r="X690" s="178" t="s">
        <v>4453</v>
      </c>
      <c r="Y690" s="170" t="s">
        <v>471</v>
      </c>
      <c r="Z690" s="1771" t="s">
        <v>67</v>
      </c>
      <c r="AA690" s="1772" t="s">
        <v>67</v>
      </c>
      <c r="AB690" s="33"/>
      <c r="AC690" s="8"/>
      <c r="AD690" s="4"/>
      <c r="AE690" s="4"/>
      <c r="AF690" s="32"/>
      <c r="AG690" s="1773" t="s">
        <v>67</v>
      </c>
      <c r="AH690" s="1774" t="s">
        <v>67</v>
      </c>
      <c r="AI690" s="1774" t="s">
        <v>67</v>
      </c>
      <c r="AJ690" s="1775" t="s">
        <v>67</v>
      </c>
      <c r="AK690" s="1776" t="s">
        <v>67</v>
      </c>
      <c r="AL690" s="1777" t="s">
        <v>67</v>
      </c>
      <c r="AM690" s="1680" t="s">
        <v>67</v>
      </c>
      <c r="AN690" s="1704"/>
      <c r="AO690" s="1680" t="s">
        <v>67</v>
      </c>
      <c r="AP690" s="1704"/>
      <c r="AQ690" s="1680" t="s">
        <v>67</v>
      </c>
      <c r="AR690" s="1704"/>
      <c r="AS690" s="1778"/>
      <c r="AT690" s="1779">
        <v>0</v>
      </c>
      <c r="AU690" s="1780">
        <v>0</v>
      </c>
      <c r="AV690" s="1781">
        <v>0</v>
      </c>
      <c r="AW690" s="1782" t="s">
        <v>67</v>
      </c>
      <c r="AX690" s="1701" t="s">
        <v>67</v>
      </c>
      <c r="AY690" s="1702" t="s">
        <v>67</v>
      </c>
      <c r="AZ690" s="1703" t="s">
        <v>67</v>
      </c>
      <c r="BA690" s="30" t="s">
        <v>67</v>
      </c>
      <c r="BB690" s="5"/>
      <c r="BC690" s="5"/>
      <c r="BD690" s="11"/>
      <c r="BE690" s="30" t="s">
        <v>67</v>
      </c>
      <c r="BF690" s="310"/>
      <c r="BG690" s="5"/>
      <c r="BH690" s="5"/>
      <c r="BI690" s="5"/>
      <c r="BJ690" s="36"/>
      <c r="BK690" s="1784" t="s">
        <v>67</v>
      </c>
      <c r="BL690" s="1139"/>
      <c r="BM690" s="1785" t="s">
        <v>67</v>
      </c>
      <c r="BN690" s="1786" t="s">
        <v>67</v>
      </c>
      <c r="BO690" s="1786" t="s">
        <v>67</v>
      </c>
      <c r="BP690" s="1787" t="s">
        <v>67</v>
      </c>
      <c r="BQ690" s="1787" t="s">
        <v>67</v>
      </c>
      <c r="BR690" s="1787" t="s">
        <v>67</v>
      </c>
      <c r="BS690" s="1787" t="s">
        <v>67</v>
      </c>
      <c r="BT690" s="1787" t="s">
        <v>67</v>
      </c>
      <c r="BU690" s="1787" t="s">
        <v>67</v>
      </c>
      <c r="BV690" s="1787" t="s">
        <v>67</v>
      </c>
      <c r="BW690" s="1785" t="s">
        <v>67</v>
      </c>
      <c r="BX690" s="13"/>
      <c r="BY690" s="22"/>
      <c r="BZ690" s="22"/>
      <c r="CA690" s="22"/>
      <c r="CB690" s="22"/>
      <c r="CC690" s="22"/>
      <c r="CD690" s="22"/>
      <c r="CE690" s="1246" t="s">
        <v>3947</v>
      </c>
      <c r="CF690" s="866"/>
    </row>
    <row r="691" spans="1:84" ht="132.75" hidden="1" customHeight="1">
      <c r="A691" s="1467"/>
      <c r="B691" s="22"/>
      <c r="C691" s="122"/>
      <c r="D691" s="22"/>
      <c r="E691" s="921"/>
      <c r="F691" s="921"/>
      <c r="G691" s="925"/>
      <c r="H691" s="1793" t="s">
        <v>6333</v>
      </c>
      <c r="I691" s="331"/>
      <c r="J691" s="331"/>
      <c r="K691" s="169">
        <v>2023</v>
      </c>
      <c r="L691" s="1446">
        <v>232031</v>
      </c>
      <c r="M691" s="1446"/>
      <c r="N691" s="170" t="s">
        <v>165</v>
      </c>
      <c r="O691" s="178" t="s">
        <v>5910</v>
      </c>
      <c r="P691" s="172" t="s">
        <v>45</v>
      </c>
      <c r="Q691" s="173" t="s">
        <v>5943</v>
      </c>
      <c r="R691" s="173" t="s">
        <v>4412</v>
      </c>
      <c r="S691" s="174">
        <v>142089.26999999999</v>
      </c>
      <c r="T691" s="175">
        <v>45168</v>
      </c>
      <c r="U691" s="176">
        <v>45180</v>
      </c>
      <c r="V691" s="177">
        <v>45197</v>
      </c>
      <c r="W691" s="105" t="s">
        <v>67</v>
      </c>
      <c r="X691" s="178" t="s">
        <v>4453</v>
      </c>
      <c r="Y691" s="170" t="s">
        <v>471</v>
      </c>
      <c r="Z691" s="1771" t="s">
        <v>67</v>
      </c>
      <c r="AA691" s="1772" t="s">
        <v>67</v>
      </c>
      <c r="AB691" s="33"/>
      <c r="AC691" s="8"/>
      <c r="AD691" s="4"/>
      <c r="AE691" s="4"/>
      <c r="AF691" s="32"/>
      <c r="AG691" s="1773" t="s">
        <v>67</v>
      </c>
      <c r="AH691" s="1774" t="s">
        <v>67</v>
      </c>
      <c r="AI691" s="1774" t="s">
        <v>67</v>
      </c>
      <c r="AJ691" s="1775" t="s">
        <v>67</v>
      </c>
      <c r="AK691" s="1776" t="s">
        <v>67</v>
      </c>
      <c r="AL691" s="1777" t="s">
        <v>67</v>
      </c>
      <c r="AM691" s="1680" t="s">
        <v>67</v>
      </c>
      <c r="AN691" s="1704"/>
      <c r="AO691" s="1680" t="s">
        <v>67</v>
      </c>
      <c r="AP691" s="1704"/>
      <c r="AQ691" s="1680" t="s">
        <v>67</v>
      </c>
      <c r="AR691" s="1704"/>
      <c r="AS691" s="1778"/>
      <c r="AT691" s="1779">
        <v>0</v>
      </c>
      <c r="AU691" s="1780">
        <v>0</v>
      </c>
      <c r="AV691" s="1781">
        <v>0</v>
      </c>
      <c r="AW691" s="1782" t="s">
        <v>67</v>
      </c>
      <c r="AX691" s="1701" t="s">
        <v>67</v>
      </c>
      <c r="AY691" s="1702" t="s">
        <v>67</v>
      </c>
      <c r="AZ691" s="1703" t="s">
        <v>67</v>
      </c>
      <c r="BA691" s="30" t="s">
        <v>67</v>
      </c>
      <c r="BB691" s="5"/>
      <c r="BC691" s="5"/>
      <c r="BD691" s="11"/>
      <c r="BE691" s="30" t="s">
        <v>67</v>
      </c>
      <c r="BF691" s="310"/>
      <c r="BG691" s="5"/>
      <c r="BH691" s="5"/>
      <c r="BI691" s="5"/>
      <c r="BJ691" s="36"/>
      <c r="BK691" s="1784" t="s">
        <v>67</v>
      </c>
      <c r="BL691" s="1139"/>
      <c r="BM691" s="1785" t="s">
        <v>67</v>
      </c>
      <c r="BN691" s="1786" t="s">
        <v>67</v>
      </c>
      <c r="BO691" s="1786" t="s">
        <v>67</v>
      </c>
      <c r="BP691" s="1787" t="s">
        <v>67</v>
      </c>
      <c r="BQ691" s="1787" t="s">
        <v>67</v>
      </c>
      <c r="BR691" s="1787" t="s">
        <v>67</v>
      </c>
      <c r="BS691" s="1787" t="s">
        <v>67</v>
      </c>
      <c r="BT691" s="1787" t="s">
        <v>67</v>
      </c>
      <c r="BU691" s="1787" t="s">
        <v>67</v>
      </c>
      <c r="BV691" s="1787" t="s">
        <v>67</v>
      </c>
      <c r="BW691" s="1785" t="s">
        <v>67</v>
      </c>
      <c r="BX691" s="13"/>
      <c r="BY691" s="22"/>
      <c r="BZ691" s="22"/>
      <c r="CA691" s="22"/>
      <c r="CB691" s="22"/>
      <c r="CC691" s="22"/>
      <c r="CD691" s="22"/>
      <c r="CE691" s="1246" t="s">
        <v>3947</v>
      </c>
      <c r="CF691" s="866"/>
    </row>
    <row r="692" spans="1:84" ht="116.25" hidden="1" customHeight="1">
      <c r="A692" s="1467"/>
      <c r="B692" s="22"/>
      <c r="C692" s="122"/>
      <c r="D692" s="22"/>
      <c r="E692" s="921"/>
      <c r="F692" s="921"/>
      <c r="G692" s="925"/>
      <c r="H692" s="1793" t="s">
        <v>6333</v>
      </c>
      <c r="I692" s="331"/>
      <c r="J692" s="331"/>
      <c r="K692" s="169">
        <v>2023</v>
      </c>
      <c r="L692" s="1446">
        <v>232032</v>
      </c>
      <c r="M692" s="1446"/>
      <c r="N692" s="170" t="s">
        <v>165</v>
      </c>
      <c r="O692" s="178" t="s">
        <v>5911</v>
      </c>
      <c r="P692" s="172" t="s">
        <v>45</v>
      </c>
      <c r="Q692" s="173" t="s">
        <v>5944</v>
      </c>
      <c r="R692" s="173" t="s">
        <v>2580</v>
      </c>
      <c r="S692" s="174">
        <f>8500*1.16</f>
        <v>9860</v>
      </c>
      <c r="T692" s="175">
        <v>45173</v>
      </c>
      <c r="U692" s="176">
        <v>45175</v>
      </c>
      <c r="V692" s="177">
        <v>45177</v>
      </c>
      <c r="W692" s="105" t="s">
        <v>67</v>
      </c>
      <c r="X692" s="178" t="s">
        <v>5945</v>
      </c>
      <c r="Y692" s="170" t="s">
        <v>471</v>
      </c>
      <c r="Z692" s="1771" t="s">
        <v>67</v>
      </c>
      <c r="AA692" s="1772" t="s">
        <v>67</v>
      </c>
      <c r="AB692" s="33"/>
      <c r="AC692" s="8"/>
      <c r="AD692" s="4"/>
      <c r="AE692" s="4"/>
      <c r="AF692" s="32"/>
      <c r="AG692" s="1773" t="s">
        <v>67</v>
      </c>
      <c r="AH692" s="1774" t="s">
        <v>67</v>
      </c>
      <c r="AI692" s="1774" t="s">
        <v>67</v>
      </c>
      <c r="AJ692" s="1775" t="s">
        <v>67</v>
      </c>
      <c r="AK692" s="1776" t="s">
        <v>67</v>
      </c>
      <c r="AL692" s="1777" t="s">
        <v>67</v>
      </c>
      <c r="AM692" s="1680" t="s">
        <v>67</v>
      </c>
      <c r="AN692" s="1704"/>
      <c r="AO692" s="1680" t="s">
        <v>67</v>
      </c>
      <c r="AP692" s="1704"/>
      <c r="AQ692" s="1680" t="s">
        <v>67</v>
      </c>
      <c r="AR692" s="1704"/>
      <c r="AS692" s="1778"/>
      <c r="AT692" s="1779">
        <v>0</v>
      </c>
      <c r="AU692" s="1780">
        <v>0</v>
      </c>
      <c r="AV692" s="1781">
        <v>0</v>
      </c>
      <c r="AW692" s="1782" t="s">
        <v>67</v>
      </c>
      <c r="AX692" s="1701" t="s">
        <v>67</v>
      </c>
      <c r="AY692" s="1702" t="s">
        <v>67</v>
      </c>
      <c r="AZ692" s="1703" t="s">
        <v>67</v>
      </c>
      <c r="BA692" s="30" t="s">
        <v>67</v>
      </c>
      <c r="BB692" s="5"/>
      <c r="BC692" s="5"/>
      <c r="BD692" s="11"/>
      <c r="BE692" s="30" t="s">
        <v>67</v>
      </c>
      <c r="BF692" s="310"/>
      <c r="BG692" s="5"/>
      <c r="BH692" s="5"/>
      <c r="BI692" s="5"/>
      <c r="BJ692" s="36"/>
      <c r="BK692" s="1784" t="s">
        <v>67</v>
      </c>
      <c r="BL692" s="1139"/>
      <c r="BM692" s="1785" t="s">
        <v>67</v>
      </c>
      <c r="BN692" s="1786" t="s">
        <v>67</v>
      </c>
      <c r="BO692" s="1786" t="s">
        <v>67</v>
      </c>
      <c r="BP692" s="1787" t="s">
        <v>67</v>
      </c>
      <c r="BQ692" s="1787" t="s">
        <v>67</v>
      </c>
      <c r="BR692" s="1787" t="s">
        <v>67</v>
      </c>
      <c r="BS692" s="1787" t="s">
        <v>67</v>
      </c>
      <c r="BT692" s="1787" t="s">
        <v>67</v>
      </c>
      <c r="BU692" s="1787" t="s">
        <v>67</v>
      </c>
      <c r="BV692" s="1787" t="s">
        <v>67</v>
      </c>
      <c r="BW692" s="1785" t="s">
        <v>67</v>
      </c>
      <c r="BX692" s="13"/>
      <c r="BY692" s="22"/>
      <c r="BZ692" s="22"/>
      <c r="CA692" s="22"/>
      <c r="CB692" s="22"/>
      <c r="CC692" s="22"/>
      <c r="CD692" s="22"/>
      <c r="CE692" s="1246" t="s">
        <v>3947</v>
      </c>
      <c r="CF692" s="866"/>
    </row>
    <row r="693" spans="1:84" ht="231.75" hidden="1" customHeight="1">
      <c r="A693" s="1467"/>
      <c r="B693" s="22"/>
      <c r="C693" s="122"/>
      <c r="D693" s="22"/>
      <c r="E693" s="921"/>
      <c r="F693" s="921"/>
      <c r="G693" s="925"/>
      <c r="H693" s="1793" t="s">
        <v>6333</v>
      </c>
      <c r="I693" s="331"/>
      <c r="J693" s="331"/>
      <c r="K693" s="169">
        <v>2023</v>
      </c>
      <c r="L693" s="1446">
        <v>232033</v>
      </c>
      <c r="M693" s="1446"/>
      <c r="N693" s="170" t="s">
        <v>165</v>
      </c>
      <c r="O693" s="178" t="s">
        <v>5912</v>
      </c>
      <c r="P693" s="172" t="s">
        <v>45</v>
      </c>
      <c r="Q693" s="1491" t="s">
        <v>5946</v>
      </c>
      <c r="R693" s="173" t="s">
        <v>2666</v>
      </c>
      <c r="S693" s="174">
        <f>15000*1.16*2</f>
        <v>34800</v>
      </c>
      <c r="T693" s="175">
        <v>45190</v>
      </c>
      <c r="U693" s="176">
        <v>45194</v>
      </c>
      <c r="V693" s="177">
        <v>45195</v>
      </c>
      <c r="W693" s="105" t="s">
        <v>67</v>
      </c>
      <c r="X693" s="178" t="s">
        <v>3961</v>
      </c>
      <c r="Y693" s="170" t="s">
        <v>471</v>
      </c>
      <c r="Z693" s="1771" t="s">
        <v>67</v>
      </c>
      <c r="AA693" s="1772" t="s">
        <v>67</v>
      </c>
      <c r="AB693" s="33"/>
      <c r="AC693" s="8"/>
      <c r="AD693" s="4"/>
      <c r="AE693" s="4"/>
      <c r="AF693" s="32"/>
      <c r="AG693" s="1773" t="s">
        <v>67</v>
      </c>
      <c r="AH693" s="1774" t="s">
        <v>67</v>
      </c>
      <c r="AI693" s="1774" t="s">
        <v>67</v>
      </c>
      <c r="AJ693" s="1775" t="s">
        <v>67</v>
      </c>
      <c r="AK693" s="1776" t="s">
        <v>67</v>
      </c>
      <c r="AL693" s="1777" t="s">
        <v>67</v>
      </c>
      <c r="AM693" s="1680" t="s">
        <v>67</v>
      </c>
      <c r="AN693" s="1704"/>
      <c r="AO693" s="1680" t="s">
        <v>67</v>
      </c>
      <c r="AP693" s="1704"/>
      <c r="AQ693" s="1680" t="s">
        <v>67</v>
      </c>
      <c r="AR693" s="1704"/>
      <c r="AS693" s="1778"/>
      <c r="AT693" s="1779">
        <v>0</v>
      </c>
      <c r="AU693" s="1780">
        <v>0</v>
      </c>
      <c r="AV693" s="1781">
        <v>0</v>
      </c>
      <c r="AW693" s="1782" t="s">
        <v>67</v>
      </c>
      <c r="AX693" s="1701" t="s">
        <v>67</v>
      </c>
      <c r="AY693" s="1702" t="s">
        <v>67</v>
      </c>
      <c r="AZ693" s="1703" t="s">
        <v>67</v>
      </c>
      <c r="BA693" s="30" t="s">
        <v>67</v>
      </c>
      <c r="BB693" s="5"/>
      <c r="BC693" s="5"/>
      <c r="BD693" s="11"/>
      <c r="BE693" s="30" t="s">
        <v>67</v>
      </c>
      <c r="BF693" s="310"/>
      <c r="BG693" s="5"/>
      <c r="BH693" s="5"/>
      <c r="BI693" s="5"/>
      <c r="BJ693" s="36"/>
      <c r="BK693" s="1784" t="s">
        <v>67</v>
      </c>
      <c r="BL693" s="1139"/>
      <c r="BM693" s="1785" t="s">
        <v>67</v>
      </c>
      <c r="BN693" s="1786" t="s">
        <v>67</v>
      </c>
      <c r="BO693" s="1786" t="s">
        <v>67</v>
      </c>
      <c r="BP693" s="1787" t="s">
        <v>67</v>
      </c>
      <c r="BQ693" s="1787" t="s">
        <v>67</v>
      </c>
      <c r="BR693" s="1787" t="s">
        <v>67</v>
      </c>
      <c r="BS693" s="1787" t="s">
        <v>67</v>
      </c>
      <c r="BT693" s="1787" t="s">
        <v>67</v>
      </c>
      <c r="BU693" s="1787" t="s">
        <v>67</v>
      </c>
      <c r="BV693" s="1787" t="s">
        <v>67</v>
      </c>
      <c r="BW693" s="1785" t="s">
        <v>67</v>
      </c>
      <c r="BX693" s="13"/>
      <c r="BY693" s="22"/>
      <c r="BZ693" s="22"/>
      <c r="CA693" s="22"/>
      <c r="CB693" s="22"/>
      <c r="CC693" s="22"/>
      <c r="CD693" s="22"/>
      <c r="CE693" s="1246" t="s">
        <v>3947</v>
      </c>
      <c r="CF693" s="866"/>
    </row>
    <row r="694" spans="1:84" ht="106.5" hidden="1" customHeight="1">
      <c r="A694" s="1467"/>
      <c r="B694" s="22"/>
      <c r="C694" s="122"/>
      <c r="D694" s="22"/>
      <c r="E694" s="921"/>
      <c r="F694" s="921"/>
      <c r="G694" s="925"/>
      <c r="H694" s="1793" t="s">
        <v>6333</v>
      </c>
      <c r="I694" s="331"/>
      <c r="J694" s="331"/>
      <c r="K694" s="169">
        <v>2023</v>
      </c>
      <c r="L694" s="1446">
        <v>232034</v>
      </c>
      <c r="M694" s="1446"/>
      <c r="N694" s="170" t="s">
        <v>165</v>
      </c>
      <c r="O694" s="178" t="s">
        <v>5913</v>
      </c>
      <c r="P694" s="172" t="s">
        <v>45</v>
      </c>
      <c r="Q694" s="1491" t="s">
        <v>5947</v>
      </c>
      <c r="R694" s="173" t="s">
        <v>1975</v>
      </c>
      <c r="S694" s="174">
        <f>46800*1.16</f>
        <v>54287.999999999993</v>
      </c>
      <c r="T694" s="175">
        <v>45209</v>
      </c>
      <c r="U694" s="176">
        <v>45210</v>
      </c>
      <c r="V694" s="177">
        <v>45243</v>
      </c>
      <c r="W694" s="105" t="s">
        <v>67</v>
      </c>
      <c r="X694" s="178" t="s">
        <v>5945</v>
      </c>
      <c r="Y694" s="170" t="s">
        <v>471</v>
      </c>
      <c r="Z694" s="1771" t="s">
        <v>67</v>
      </c>
      <c r="AA694" s="1772" t="s">
        <v>67</v>
      </c>
      <c r="AB694" s="33"/>
      <c r="AC694" s="8"/>
      <c r="AD694" s="4"/>
      <c r="AE694" s="4"/>
      <c r="AF694" s="32"/>
      <c r="AG694" s="1773" t="s">
        <v>67</v>
      </c>
      <c r="AH694" s="1774" t="s">
        <v>67</v>
      </c>
      <c r="AI694" s="1774" t="s">
        <v>67</v>
      </c>
      <c r="AJ694" s="1775" t="s">
        <v>67</v>
      </c>
      <c r="AK694" s="1776" t="s">
        <v>67</v>
      </c>
      <c r="AL694" s="1777" t="s">
        <v>67</v>
      </c>
      <c r="AM694" s="1680" t="s">
        <v>67</v>
      </c>
      <c r="AN694" s="1704"/>
      <c r="AO694" s="1680" t="s">
        <v>67</v>
      </c>
      <c r="AP694" s="1704"/>
      <c r="AQ694" s="1680" t="s">
        <v>67</v>
      </c>
      <c r="AR694" s="1704"/>
      <c r="AS694" s="1778"/>
      <c r="AT694" s="1779">
        <v>0</v>
      </c>
      <c r="AU694" s="1780">
        <v>0</v>
      </c>
      <c r="AV694" s="1781">
        <v>0</v>
      </c>
      <c r="AW694" s="1782" t="s">
        <v>67</v>
      </c>
      <c r="AX694" s="1701" t="s">
        <v>67</v>
      </c>
      <c r="AY694" s="1702" t="s">
        <v>67</v>
      </c>
      <c r="AZ694" s="1703" t="s">
        <v>67</v>
      </c>
      <c r="BA694" s="30" t="s">
        <v>67</v>
      </c>
      <c r="BB694" s="5"/>
      <c r="BC694" s="5"/>
      <c r="BD694" s="11"/>
      <c r="BE694" s="30" t="s">
        <v>67</v>
      </c>
      <c r="BF694" s="310"/>
      <c r="BG694" s="5"/>
      <c r="BH694" s="5"/>
      <c r="BI694" s="5"/>
      <c r="BJ694" s="36"/>
      <c r="BK694" s="1784" t="s">
        <v>67</v>
      </c>
      <c r="BL694" s="1139"/>
      <c r="BM694" s="1785" t="s">
        <v>67</v>
      </c>
      <c r="BN694" s="1786" t="s">
        <v>67</v>
      </c>
      <c r="BO694" s="1786" t="s">
        <v>67</v>
      </c>
      <c r="BP694" s="1787" t="s">
        <v>67</v>
      </c>
      <c r="BQ694" s="1787" t="s">
        <v>67</v>
      </c>
      <c r="BR694" s="1787" t="s">
        <v>67</v>
      </c>
      <c r="BS694" s="1787" t="s">
        <v>67</v>
      </c>
      <c r="BT694" s="1787" t="s">
        <v>67</v>
      </c>
      <c r="BU694" s="1787" t="s">
        <v>67</v>
      </c>
      <c r="BV694" s="1787" t="s">
        <v>67</v>
      </c>
      <c r="BW694" s="1785" t="s">
        <v>67</v>
      </c>
      <c r="BX694" s="13"/>
      <c r="BY694" s="22"/>
      <c r="BZ694" s="22"/>
      <c r="CA694" s="22"/>
      <c r="CB694" s="22"/>
      <c r="CC694" s="22"/>
      <c r="CD694" s="22"/>
      <c r="CE694" s="1246" t="s">
        <v>3947</v>
      </c>
      <c r="CF694" s="866"/>
    </row>
    <row r="695" spans="1:84" ht="132.75" hidden="1" customHeight="1">
      <c r="A695" s="1467"/>
      <c r="B695" s="22"/>
      <c r="C695" s="122"/>
      <c r="D695" s="22"/>
      <c r="E695" s="921"/>
      <c r="F695" s="921"/>
      <c r="G695" s="925"/>
      <c r="H695" s="1793" t="s">
        <v>6333</v>
      </c>
      <c r="I695" s="331"/>
      <c r="J695" s="331"/>
      <c r="K695" s="169">
        <v>2023</v>
      </c>
      <c r="L695" s="1446">
        <v>232035</v>
      </c>
      <c r="M695" s="1446"/>
      <c r="N695" s="170" t="s">
        <v>165</v>
      </c>
      <c r="O695" s="178" t="s">
        <v>5914</v>
      </c>
      <c r="P695" s="172" t="s">
        <v>45</v>
      </c>
      <c r="Q695" s="173" t="s">
        <v>5948</v>
      </c>
      <c r="R695" s="173" t="s">
        <v>2541</v>
      </c>
      <c r="S695" s="174">
        <f>26186.7*1.16</f>
        <v>30376.572</v>
      </c>
      <c r="T695" s="175">
        <v>45233</v>
      </c>
      <c r="U695" s="176">
        <v>45237</v>
      </c>
      <c r="V695" s="177">
        <v>45239</v>
      </c>
      <c r="W695" s="105" t="s">
        <v>67</v>
      </c>
      <c r="X695" s="178" t="s">
        <v>4453</v>
      </c>
      <c r="Y695" s="170" t="s">
        <v>471</v>
      </c>
      <c r="Z695" s="1771" t="s">
        <v>67</v>
      </c>
      <c r="AA695" s="1772" t="s">
        <v>67</v>
      </c>
      <c r="AB695" s="33"/>
      <c r="AC695" s="8"/>
      <c r="AD695" s="4"/>
      <c r="AE695" s="4"/>
      <c r="AF695" s="32"/>
      <c r="AG695" s="1773" t="s">
        <v>67</v>
      </c>
      <c r="AH695" s="1774" t="s">
        <v>67</v>
      </c>
      <c r="AI695" s="1774" t="s">
        <v>67</v>
      </c>
      <c r="AJ695" s="1775" t="s">
        <v>67</v>
      </c>
      <c r="AK695" s="1776" t="s">
        <v>67</v>
      </c>
      <c r="AL695" s="1777" t="s">
        <v>67</v>
      </c>
      <c r="AM695" s="1680" t="s">
        <v>67</v>
      </c>
      <c r="AN695" s="1704"/>
      <c r="AO695" s="1680" t="s">
        <v>67</v>
      </c>
      <c r="AP695" s="1704"/>
      <c r="AQ695" s="1680" t="s">
        <v>67</v>
      </c>
      <c r="AR695" s="1704"/>
      <c r="AS695" s="1778"/>
      <c r="AT695" s="1779">
        <v>0</v>
      </c>
      <c r="AU695" s="1780">
        <v>0</v>
      </c>
      <c r="AV695" s="1781">
        <v>0</v>
      </c>
      <c r="AW695" s="1782" t="s">
        <v>67</v>
      </c>
      <c r="AX695" s="1701" t="s">
        <v>67</v>
      </c>
      <c r="AY695" s="1702" t="s">
        <v>67</v>
      </c>
      <c r="AZ695" s="1703" t="s">
        <v>67</v>
      </c>
      <c r="BA695" s="30" t="s">
        <v>67</v>
      </c>
      <c r="BB695" s="5"/>
      <c r="BC695" s="5"/>
      <c r="BD695" s="11"/>
      <c r="BE695" s="30" t="s">
        <v>67</v>
      </c>
      <c r="BF695" s="310"/>
      <c r="BG695" s="5"/>
      <c r="BH695" s="5"/>
      <c r="BI695" s="5"/>
      <c r="BJ695" s="36"/>
      <c r="BK695" s="1784" t="s">
        <v>67</v>
      </c>
      <c r="BL695" s="1139"/>
      <c r="BM695" s="1785" t="s">
        <v>67</v>
      </c>
      <c r="BN695" s="1786" t="s">
        <v>67</v>
      </c>
      <c r="BO695" s="1786" t="s">
        <v>67</v>
      </c>
      <c r="BP695" s="1787" t="s">
        <v>67</v>
      </c>
      <c r="BQ695" s="1787" t="s">
        <v>67</v>
      </c>
      <c r="BR695" s="1787" t="s">
        <v>67</v>
      </c>
      <c r="BS695" s="1787" t="s">
        <v>67</v>
      </c>
      <c r="BT695" s="1787" t="s">
        <v>67</v>
      </c>
      <c r="BU695" s="1787" t="s">
        <v>67</v>
      </c>
      <c r="BV695" s="1787" t="s">
        <v>67</v>
      </c>
      <c r="BW695" s="1785" t="s">
        <v>67</v>
      </c>
      <c r="BX695" s="13"/>
      <c r="BY695" s="22"/>
      <c r="BZ695" s="22"/>
      <c r="CA695" s="22"/>
      <c r="CB695" s="22"/>
      <c r="CC695" s="22"/>
      <c r="CD695" s="22"/>
      <c r="CE695" s="1246" t="s">
        <v>3947</v>
      </c>
      <c r="CF695" s="866"/>
    </row>
    <row r="696" spans="1:84" ht="201.75" hidden="1" customHeight="1">
      <c r="A696" s="1467"/>
      <c r="B696" s="22"/>
      <c r="C696" s="122"/>
      <c r="D696" s="22"/>
      <c r="E696" s="921"/>
      <c r="F696" s="921"/>
      <c r="G696" s="925"/>
      <c r="H696" s="1793" t="s">
        <v>6333</v>
      </c>
      <c r="I696" s="331"/>
      <c r="J696" s="331"/>
      <c r="K696" s="169">
        <v>2023</v>
      </c>
      <c r="L696" s="1446">
        <v>232036</v>
      </c>
      <c r="M696" s="1446"/>
      <c r="N696" s="170" t="s">
        <v>165</v>
      </c>
      <c r="O696" s="178" t="s">
        <v>5915</v>
      </c>
      <c r="P696" s="172" t="s">
        <v>45</v>
      </c>
      <c r="Q696" s="1491" t="s">
        <v>5949</v>
      </c>
      <c r="R696" s="173" t="s">
        <v>5950</v>
      </c>
      <c r="S696" s="174">
        <f>(15200+22400+10800)*1.16</f>
        <v>56143.999999999993</v>
      </c>
      <c r="T696" s="175">
        <v>45225</v>
      </c>
      <c r="U696" s="176">
        <v>45226</v>
      </c>
      <c r="V696" s="177">
        <v>45229</v>
      </c>
      <c r="W696" s="105" t="s">
        <v>67</v>
      </c>
      <c r="X696" s="178" t="s">
        <v>5945</v>
      </c>
      <c r="Y696" s="170" t="s">
        <v>471</v>
      </c>
      <c r="Z696" s="1771" t="s">
        <v>67</v>
      </c>
      <c r="AA696" s="1772" t="s">
        <v>67</v>
      </c>
      <c r="AB696" s="33"/>
      <c r="AC696" s="8"/>
      <c r="AD696" s="4"/>
      <c r="AE696" s="4"/>
      <c r="AF696" s="32"/>
      <c r="AG696" s="1773" t="s">
        <v>67</v>
      </c>
      <c r="AH696" s="1774" t="s">
        <v>67</v>
      </c>
      <c r="AI696" s="1774" t="s">
        <v>67</v>
      </c>
      <c r="AJ696" s="1775" t="s">
        <v>67</v>
      </c>
      <c r="AK696" s="1776" t="s">
        <v>67</v>
      </c>
      <c r="AL696" s="1777" t="s">
        <v>67</v>
      </c>
      <c r="AM696" s="1680" t="s">
        <v>67</v>
      </c>
      <c r="AN696" s="1704"/>
      <c r="AO696" s="1680" t="s">
        <v>67</v>
      </c>
      <c r="AP696" s="1704"/>
      <c r="AQ696" s="1680" t="s">
        <v>67</v>
      </c>
      <c r="AR696" s="1704"/>
      <c r="AS696" s="1778"/>
      <c r="AT696" s="1779">
        <v>0</v>
      </c>
      <c r="AU696" s="1780">
        <v>0</v>
      </c>
      <c r="AV696" s="1781">
        <v>0</v>
      </c>
      <c r="AW696" s="1782" t="s">
        <v>67</v>
      </c>
      <c r="AX696" s="1701" t="s">
        <v>67</v>
      </c>
      <c r="AY696" s="1702" t="s">
        <v>67</v>
      </c>
      <c r="AZ696" s="1703" t="s">
        <v>67</v>
      </c>
      <c r="BA696" s="30" t="s">
        <v>67</v>
      </c>
      <c r="BB696" s="5"/>
      <c r="BC696" s="5"/>
      <c r="BD696" s="11"/>
      <c r="BE696" s="30" t="s">
        <v>67</v>
      </c>
      <c r="BF696" s="310"/>
      <c r="BG696" s="5"/>
      <c r="BH696" s="5"/>
      <c r="BI696" s="5"/>
      <c r="BJ696" s="36"/>
      <c r="BK696" s="1784" t="s">
        <v>67</v>
      </c>
      <c r="BL696" s="1139"/>
      <c r="BM696" s="1785" t="s">
        <v>67</v>
      </c>
      <c r="BN696" s="1786" t="s">
        <v>67</v>
      </c>
      <c r="BO696" s="1786" t="s">
        <v>67</v>
      </c>
      <c r="BP696" s="1787" t="s">
        <v>67</v>
      </c>
      <c r="BQ696" s="1787" t="s">
        <v>67</v>
      </c>
      <c r="BR696" s="1787" t="s">
        <v>67</v>
      </c>
      <c r="BS696" s="1787" t="s">
        <v>67</v>
      </c>
      <c r="BT696" s="1787" t="s">
        <v>67</v>
      </c>
      <c r="BU696" s="1787" t="s">
        <v>67</v>
      </c>
      <c r="BV696" s="1787" t="s">
        <v>67</v>
      </c>
      <c r="BW696" s="1785" t="s">
        <v>67</v>
      </c>
      <c r="BX696" s="13"/>
      <c r="BY696" s="22"/>
      <c r="BZ696" s="22"/>
      <c r="CA696" s="22"/>
      <c r="CB696" s="22"/>
      <c r="CC696" s="22"/>
      <c r="CD696" s="22"/>
      <c r="CE696" s="1246" t="s">
        <v>3947</v>
      </c>
      <c r="CF696" s="866"/>
    </row>
    <row r="697" spans="1:84" ht="114.75" hidden="1" customHeight="1">
      <c r="A697" s="1467"/>
      <c r="B697" s="22"/>
      <c r="C697" s="122"/>
      <c r="D697" s="22"/>
      <c r="E697" s="921"/>
      <c r="F697" s="921"/>
      <c r="G697" s="925"/>
      <c r="H697" s="1793" t="s">
        <v>6333</v>
      </c>
      <c r="I697" s="331"/>
      <c r="J697" s="331"/>
      <c r="K697" s="169">
        <v>2023</v>
      </c>
      <c r="L697" s="1446">
        <v>232038</v>
      </c>
      <c r="M697" s="1446"/>
      <c r="N697" s="170" t="s">
        <v>165</v>
      </c>
      <c r="O697" s="178" t="s">
        <v>5917</v>
      </c>
      <c r="P697" s="172" t="s">
        <v>45</v>
      </c>
      <c r="Q697" s="173" t="s">
        <v>5951</v>
      </c>
      <c r="R697" s="173" t="s">
        <v>1975</v>
      </c>
      <c r="S697" s="174">
        <v>102831.39</v>
      </c>
      <c r="T697" s="175">
        <v>45264</v>
      </c>
      <c r="U697" s="176">
        <v>45266</v>
      </c>
      <c r="V697" s="177">
        <v>45301</v>
      </c>
      <c r="W697" s="105" t="s">
        <v>67</v>
      </c>
      <c r="X697" s="178" t="s">
        <v>5952</v>
      </c>
      <c r="Y697" s="170" t="s">
        <v>471</v>
      </c>
      <c r="Z697" s="1771" t="s">
        <v>67</v>
      </c>
      <c r="AA697" s="1772" t="s">
        <v>67</v>
      </c>
      <c r="AB697" s="33"/>
      <c r="AC697" s="8"/>
      <c r="AD697" s="4"/>
      <c r="AE697" s="4"/>
      <c r="AF697" s="32"/>
      <c r="AG697" s="1773" t="s">
        <v>67</v>
      </c>
      <c r="AH697" s="1774" t="s">
        <v>67</v>
      </c>
      <c r="AI697" s="1774" t="s">
        <v>67</v>
      </c>
      <c r="AJ697" s="1775" t="s">
        <v>67</v>
      </c>
      <c r="AK697" s="1776" t="s">
        <v>67</v>
      </c>
      <c r="AL697" s="1777" t="s">
        <v>67</v>
      </c>
      <c r="AM697" s="1680" t="s">
        <v>67</v>
      </c>
      <c r="AN697" s="1704"/>
      <c r="AO697" s="1680" t="s">
        <v>67</v>
      </c>
      <c r="AP697" s="1704"/>
      <c r="AQ697" s="1680" t="s">
        <v>67</v>
      </c>
      <c r="AR697" s="1704"/>
      <c r="AS697" s="1778"/>
      <c r="AT697" s="1779">
        <v>0</v>
      </c>
      <c r="AU697" s="1780">
        <v>0</v>
      </c>
      <c r="AV697" s="1781">
        <v>0</v>
      </c>
      <c r="AW697" s="1782" t="s">
        <v>67</v>
      </c>
      <c r="AX697" s="1701" t="s">
        <v>67</v>
      </c>
      <c r="AY697" s="1702" t="s">
        <v>67</v>
      </c>
      <c r="AZ697" s="1703" t="s">
        <v>67</v>
      </c>
      <c r="BA697" s="30" t="s">
        <v>67</v>
      </c>
      <c r="BB697" s="5"/>
      <c r="BC697" s="5"/>
      <c r="BD697" s="11"/>
      <c r="BE697" s="30" t="s">
        <v>67</v>
      </c>
      <c r="BF697" s="310"/>
      <c r="BG697" s="5"/>
      <c r="BH697" s="5"/>
      <c r="BI697" s="5"/>
      <c r="BJ697" s="36"/>
      <c r="BK697" s="1784" t="s">
        <v>67</v>
      </c>
      <c r="BL697" s="1139"/>
      <c r="BM697" s="1785" t="s">
        <v>67</v>
      </c>
      <c r="BN697" s="1786" t="s">
        <v>67</v>
      </c>
      <c r="BO697" s="1786" t="s">
        <v>67</v>
      </c>
      <c r="BP697" s="1787" t="s">
        <v>67</v>
      </c>
      <c r="BQ697" s="1787" t="s">
        <v>67</v>
      </c>
      <c r="BR697" s="1787" t="s">
        <v>67</v>
      </c>
      <c r="BS697" s="1787" t="s">
        <v>67</v>
      </c>
      <c r="BT697" s="1787" t="s">
        <v>67</v>
      </c>
      <c r="BU697" s="1787" t="s">
        <v>67</v>
      </c>
      <c r="BV697" s="1787" t="s">
        <v>67</v>
      </c>
      <c r="BW697" s="1785" t="s">
        <v>67</v>
      </c>
      <c r="BX697" s="13"/>
      <c r="BY697" s="22"/>
      <c r="BZ697" s="22"/>
      <c r="CA697" s="22"/>
      <c r="CB697" s="22"/>
      <c r="CC697" s="22"/>
      <c r="CD697" s="22"/>
      <c r="CE697" s="1246" t="s">
        <v>3947</v>
      </c>
      <c r="CF697" s="866"/>
    </row>
    <row r="698" spans="1:84" ht="153" hidden="1" customHeight="1">
      <c r="A698" s="1467"/>
      <c r="B698" s="22"/>
      <c r="C698" s="122"/>
      <c r="D698" s="22"/>
      <c r="E698" s="921"/>
      <c r="F698" s="921"/>
      <c r="G698" s="925"/>
      <c r="H698" s="1793" t="s">
        <v>6333</v>
      </c>
      <c r="I698" s="331"/>
      <c r="J698" s="331"/>
      <c r="K698" s="169">
        <v>2023</v>
      </c>
      <c r="L698" s="1446">
        <v>232039</v>
      </c>
      <c r="M698" s="1446"/>
      <c r="N698" s="170" t="s">
        <v>165</v>
      </c>
      <c r="O698" s="178" t="s">
        <v>5918</v>
      </c>
      <c r="P698" s="172" t="s">
        <v>45</v>
      </c>
      <c r="Q698" s="173" t="s">
        <v>5953</v>
      </c>
      <c r="R698" s="173" t="s">
        <v>1975</v>
      </c>
      <c r="S698" s="174">
        <f>20000*1.16</f>
        <v>23200</v>
      </c>
      <c r="T698" s="175">
        <v>45265</v>
      </c>
      <c r="U698" s="176">
        <v>45266</v>
      </c>
      <c r="V698" s="177">
        <v>45267</v>
      </c>
      <c r="W698" s="105" t="s">
        <v>67</v>
      </c>
      <c r="X698" s="178" t="s">
        <v>2989</v>
      </c>
      <c r="Y698" s="170" t="s">
        <v>471</v>
      </c>
      <c r="Z698" s="1771" t="s">
        <v>67</v>
      </c>
      <c r="AA698" s="1772" t="s">
        <v>67</v>
      </c>
      <c r="AB698" s="33"/>
      <c r="AC698" s="8"/>
      <c r="AD698" s="4"/>
      <c r="AE698" s="4"/>
      <c r="AF698" s="32"/>
      <c r="AG698" s="1773" t="s">
        <v>67</v>
      </c>
      <c r="AH698" s="1774" t="s">
        <v>67</v>
      </c>
      <c r="AI698" s="1774" t="s">
        <v>67</v>
      </c>
      <c r="AJ698" s="1775" t="s">
        <v>67</v>
      </c>
      <c r="AK698" s="1776" t="s">
        <v>67</v>
      </c>
      <c r="AL698" s="1777" t="s">
        <v>67</v>
      </c>
      <c r="AM698" s="1680" t="s">
        <v>67</v>
      </c>
      <c r="AN698" s="1704"/>
      <c r="AO698" s="1680" t="s">
        <v>67</v>
      </c>
      <c r="AP698" s="1704"/>
      <c r="AQ698" s="1680" t="s">
        <v>67</v>
      </c>
      <c r="AR698" s="1704"/>
      <c r="AS698" s="1778"/>
      <c r="AT698" s="1779">
        <v>0</v>
      </c>
      <c r="AU698" s="1780">
        <v>0</v>
      </c>
      <c r="AV698" s="1781">
        <v>0</v>
      </c>
      <c r="AW698" s="1782" t="s">
        <v>67</v>
      </c>
      <c r="AX698" s="1701" t="s">
        <v>67</v>
      </c>
      <c r="AY698" s="1702" t="s">
        <v>67</v>
      </c>
      <c r="AZ698" s="1703" t="s">
        <v>67</v>
      </c>
      <c r="BA698" s="30" t="s">
        <v>67</v>
      </c>
      <c r="BB698" s="5"/>
      <c r="BC698" s="5"/>
      <c r="BD698" s="11"/>
      <c r="BE698" s="30" t="s">
        <v>67</v>
      </c>
      <c r="BF698" s="310"/>
      <c r="BG698" s="5"/>
      <c r="BH698" s="5"/>
      <c r="BI698" s="5"/>
      <c r="BJ698" s="36"/>
      <c r="BK698" s="1784" t="s">
        <v>67</v>
      </c>
      <c r="BL698" s="1139"/>
      <c r="BM698" s="1785" t="s">
        <v>67</v>
      </c>
      <c r="BN698" s="1786" t="s">
        <v>67</v>
      </c>
      <c r="BO698" s="1786" t="s">
        <v>67</v>
      </c>
      <c r="BP698" s="1787" t="s">
        <v>67</v>
      </c>
      <c r="BQ698" s="1787" t="s">
        <v>67</v>
      </c>
      <c r="BR698" s="1787" t="s">
        <v>67</v>
      </c>
      <c r="BS698" s="1787" t="s">
        <v>67</v>
      </c>
      <c r="BT698" s="1787" t="s">
        <v>67</v>
      </c>
      <c r="BU698" s="1787" t="s">
        <v>67</v>
      </c>
      <c r="BV698" s="1787" t="s">
        <v>67</v>
      </c>
      <c r="BW698" s="1785" t="s">
        <v>67</v>
      </c>
      <c r="BX698" s="13"/>
      <c r="BY698" s="22"/>
      <c r="BZ698" s="22"/>
      <c r="CA698" s="22"/>
      <c r="CB698" s="22"/>
      <c r="CC698" s="22"/>
      <c r="CD698" s="22"/>
      <c r="CE698" s="1246" t="s">
        <v>3947</v>
      </c>
      <c r="CF698" s="866"/>
    </row>
    <row r="699" spans="1:84" ht="155.25" hidden="1" customHeight="1">
      <c r="A699" s="1467"/>
      <c r="B699" s="22"/>
      <c r="C699" s="122"/>
      <c r="D699" s="22"/>
      <c r="E699" s="921"/>
      <c r="F699" s="921"/>
      <c r="G699" s="925"/>
      <c r="H699" s="1793" t="s">
        <v>6333</v>
      </c>
      <c r="I699" s="331"/>
      <c r="J699" s="331"/>
      <c r="K699" s="169">
        <v>2023</v>
      </c>
      <c r="L699" s="1446">
        <v>232040</v>
      </c>
      <c r="M699" s="1446"/>
      <c r="N699" s="170" t="s">
        <v>165</v>
      </c>
      <c r="O699" s="178" t="s">
        <v>5919</v>
      </c>
      <c r="P699" s="172" t="s">
        <v>45</v>
      </c>
      <c r="Q699" s="173" t="s">
        <v>5954</v>
      </c>
      <c r="R699" s="173" t="s">
        <v>1975</v>
      </c>
      <c r="S699" s="174">
        <v>45601.919999999998</v>
      </c>
      <c r="T699" s="175">
        <v>45267</v>
      </c>
      <c r="U699" s="176">
        <v>45271</v>
      </c>
      <c r="V699" s="177">
        <v>45299</v>
      </c>
      <c r="W699" s="105" t="s">
        <v>67</v>
      </c>
      <c r="X699" s="178" t="s">
        <v>5952</v>
      </c>
      <c r="Y699" s="170" t="s">
        <v>471</v>
      </c>
      <c r="Z699" s="1771" t="s">
        <v>67</v>
      </c>
      <c r="AA699" s="1772" t="s">
        <v>67</v>
      </c>
      <c r="AB699" s="33"/>
      <c r="AC699" s="8"/>
      <c r="AD699" s="4"/>
      <c r="AE699" s="4"/>
      <c r="AF699" s="32"/>
      <c r="AG699" s="1773" t="s">
        <v>67</v>
      </c>
      <c r="AH699" s="1774" t="s">
        <v>67</v>
      </c>
      <c r="AI699" s="1774" t="s">
        <v>67</v>
      </c>
      <c r="AJ699" s="1775" t="s">
        <v>67</v>
      </c>
      <c r="AK699" s="1776" t="s">
        <v>67</v>
      </c>
      <c r="AL699" s="1777" t="s">
        <v>67</v>
      </c>
      <c r="AM699" s="1680" t="s">
        <v>67</v>
      </c>
      <c r="AN699" s="1704"/>
      <c r="AO699" s="1680" t="s">
        <v>67</v>
      </c>
      <c r="AP699" s="1704"/>
      <c r="AQ699" s="1680" t="s">
        <v>67</v>
      </c>
      <c r="AR699" s="1704"/>
      <c r="AS699" s="1778"/>
      <c r="AT699" s="1779">
        <v>0</v>
      </c>
      <c r="AU699" s="1780">
        <v>0</v>
      </c>
      <c r="AV699" s="1781">
        <v>0</v>
      </c>
      <c r="AW699" s="1782" t="s">
        <v>67</v>
      </c>
      <c r="AX699" s="1701" t="s">
        <v>67</v>
      </c>
      <c r="AY699" s="1702" t="s">
        <v>67</v>
      </c>
      <c r="AZ699" s="1703" t="s">
        <v>67</v>
      </c>
      <c r="BA699" s="30" t="s">
        <v>67</v>
      </c>
      <c r="BB699" s="5"/>
      <c r="BC699" s="5"/>
      <c r="BD699" s="11"/>
      <c r="BE699" s="30" t="s">
        <v>67</v>
      </c>
      <c r="BF699" s="310"/>
      <c r="BG699" s="5"/>
      <c r="BH699" s="5"/>
      <c r="BI699" s="5"/>
      <c r="BJ699" s="36"/>
      <c r="BK699" s="1784" t="s">
        <v>67</v>
      </c>
      <c r="BL699" s="1139"/>
      <c r="BM699" s="1785" t="s">
        <v>67</v>
      </c>
      <c r="BN699" s="1786" t="s">
        <v>67</v>
      </c>
      <c r="BO699" s="1786" t="s">
        <v>67</v>
      </c>
      <c r="BP699" s="1787" t="s">
        <v>67</v>
      </c>
      <c r="BQ699" s="1787" t="s">
        <v>67</v>
      </c>
      <c r="BR699" s="1787" t="s">
        <v>67</v>
      </c>
      <c r="BS699" s="1787" t="s">
        <v>67</v>
      </c>
      <c r="BT699" s="1787" t="s">
        <v>67</v>
      </c>
      <c r="BU699" s="1787" t="s">
        <v>67</v>
      </c>
      <c r="BV699" s="1787" t="s">
        <v>67</v>
      </c>
      <c r="BW699" s="1785" t="s">
        <v>67</v>
      </c>
      <c r="BX699" s="13"/>
      <c r="BY699" s="22"/>
      <c r="BZ699" s="22"/>
      <c r="CA699" s="22"/>
      <c r="CB699" s="22"/>
      <c r="CC699" s="22"/>
      <c r="CD699" s="22"/>
      <c r="CE699" s="1246" t="s">
        <v>3947</v>
      </c>
      <c r="CF699" s="866"/>
    </row>
    <row r="700" spans="1:84" ht="81" hidden="1" customHeight="1">
      <c r="A700" s="1467"/>
      <c r="B700" s="22"/>
      <c r="C700" s="122"/>
      <c r="D700" s="22"/>
      <c r="E700" s="921"/>
      <c r="F700" s="921"/>
      <c r="G700" s="925"/>
      <c r="H700" s="1793" t="s">
        <v>6333</v>
      </c>
      <c r="I700" s="331"/>
      <c r="J700" s="331"/>
      <c r="K700" s="169">
        <v>2023</v>
      </c>
      <c r="L700" s="1446">
        <v>232041</v>
      </c>
      <c r="M700" s="1446"/>
      <c r="N700" s="170" t="s">
        <v>165</v>
      </c>
      <c r="O700" s="178" t="s">
        <v>5920</v>
      </c>
      <c r="P700" s="172" t="s">
        <v>45</v>
      </c>
      <c r="Q700" s="173" t="s">
        <v>5955</v>
      </c>
      <c r="R700" s="173" t="s">
        <v>1975</v>
      </c>
      <c r="S700" s="174">
        <f>38100*1.16</f>
        <v>44196</v>
      </c>
      <c r="T700" s="175">
        <v>45275</v>
      </c>
      <c r="U700" s="176">
        <v>45280</v>
      </c>
      <c r="V700" s="177">
        <v>45282</v>
      </c>
      <c r="W700" s="105" t="s">
        <v>67</v>
      </c>
      <c r="X700" s="178" t="s">
        <v>3745</v>
      </c>
      <c r="Y700" s="170" t="s">
        <v>471</v>
      </c>
      <c r="Z700" s="1771" t="s">
        <v>67</v>
      </c>
      <c r="AA700" s="1772" t="s">
        <v>67</v>
      </c>
      <c r="AB700" s="33"/>
      <c r="AC700" s="8"/>
      <c r="AD700" s="4"/>
      <c r="AE700" s="4"/>
      <c r="AF700" s="32"/>
      <c r="AG700" s="1773" t="s">
        <v>67</v>
      </c>
      <c r="AH700" s="1774" t="s">
        <v>67</v>
      </c>
      <c r="AI700" s="1774" t="s">
        <v>67</v>
      </c>
      <c r="AJ700" s="1775" t="s">
        <v>67</v>
      </c>
      <c r="AK700" s="1776" t="s">
        <v>67</v>
      </c>
      <c r="AL700" s="1777" t="s">
        <v>67</v>
      </c>
      <c r="AM700" s="1680" t="s">
        <v>67</v>
      </c>
      <c r="AN700" s="1704"/>
      <c r="AO700" s="1680" t="s">
        <v>67</v>
      </c>
      <c r="AP700" s="1704"/>
      <c r="AQ700" s="1680" t="s">
        <v>67</v>
      </c>
      <c r="AR700" s="1704"/>
      <c r="AS700" s="1778"/>
      <c r="AT700" s="1779">
        <v>0</v>
      </c>
      <c r="AU700" s="1780">
        <v>0</v>
      </c>
      <c r="AV700" s="1781">
        <v>0</v>
      </c>
      <c r="AW700" s="1782" t="s">
        <v>67</v>
      </c>
      <c r="AX700" s="1701" t="s">
        <v>67</v>
      </c>
      <c r="AY700" s="1702" t="s">
        <v>67</v>
      </c>
      <c r="AZ700" s="1703" t="s">
        <v>67</v>
      </c>
      <c r="BA700" s="30" t="s">
        <v>67</v>
      </c>
      <c r="BB700" s="5"/>
      <c r="BC700" s="5"/>
      <c r="BD700" s="11"/>
      <c r="BE700" s="30" t="s">
        <v>67</v>
      </c>
      <c r="BF700" s="310"/>
      <c r="BG700" s="5"/>
      <c r="BH700" s="5"/>
      <c r="BI700" s="5"/>
      <c r="BJ700" s="36"/>
      <c r="BK700" s="1784" t="s">
        <v>67</v>
      </c>
      <c r="BL700" s="1139"/>
      <c r="BM700" s="1785" t="s">
        <v>67</v>
      </c>
      <c r="BN700" s="1786" t="s">
        <v>67</v>
      </c>
      <c r="BO700" s="1786" t="s">
        <v>67</v>
      </c>
      <c r="BP700" s="1787" t="s">
        <v>67</v>
      </c>
      <c r="BQ700" s="1787" t="s">
        <v>67</v>
      </c>
      <c r="BR700" s="1787" t="s">
        <v>67</v>
      </c>
      <c r="BS700" s="1787" t="s">
        <v>67</v>
      </c>
      <c r="BT700" s="1787" t="s">
        <v>67</v>
      </c>
      <c r="BU700" s="1787" t="s">
        <v>67</v>
      </c>
      <c r="BV700" s="1787" t="s">
        <v>67</v>
      </c>
      <c r="BW700" s="1785" t="s">
        <v>67</v>
      </c>
      <c r="BX700" s="13"/>
      <c r="BY700" s="22"/>
      <c r="BZ700" s="22"/>
      <c r="CA700" s="22"/>
      <c r="CB700" s="22"/>
      <c r="CC700" s="22"/>
      <c r="CD700" s="22"/>
      <c r="CE700" s="1246" t="s">
        <v>3947</v>
      </c>
      <c r="CF700" s="866"/>
    </row>
    <row r="701" spans="1:84" ht="102" hidden="1" customHeight="1">
      <c r="A701" s="1467"/>
      <c r="B701" s="22"/>
      <c r="C701" s="122"/>
      <c r="D701" s="22"/>
      <c r="E701" s="921"/>
      <c r="F701" s="921"/>
      <c r="G701" s="925">
        <v>44999</v>
      </c>
      <c r="H701" s="1793" t="s">
        <v>6333</v>
      </c>
      <c r="I701" s="331"/>
      <c r="J701" s="331"/>
      <c r="K701" s="169">
        <v>2023</v>
      </c>
      <c r="L701" s="1446">
        <v>233001</v>
      </c>
      <c r="M701" s="1446"/>
      <c r="N701" s="170" t="s">
        <v>165</v>
      </c>
      <c r="O701" s="178" t="s">
        <v>4857</v>
      </c>
      <c r="P701" s="172" t="s">
        <v>46</v>
      </c>
      <c r="Q701" s="173" t="s">
        <v>4868</v>
      </c>
      <c r="R701" s="173" t="s">
        <v>2578</v>
      </c>
      <c r="S701" s="174">
        <f>49000*1.16</f>
        <v>56839.999999999993</v>
      </c>
      <c r="T701" s="175">
        <v>44928</v>
      </c>
      <c r="U701" s="176">
        <v>44928</v>
      </c>
      <c r="V701" s="177">
        <v>44957</v>
      </c>
      <c r="W701" s="105" t="s">
        <v>67</v>
      </c>
      <c r="X701" s="178" t="s">
        <v>4869</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3947</v>
      </c>
      <c r="CF701" s="866"/>
    </row>
    <row r="702" spans="1:84" ht="122.25" hidden="1" customHeight="1">
      <c r="A702" s="1467"/>
      <c r="B702" s="22"/>
      <c r="C702" s="122"/>
      <c r="D702" s="22"/>
      <c r="E702" s="921"/>
      <c r="F702" s="921"/>
      <c r="G702" s="925">
        <v>44999</v>
      </c>
      <c r="H702" s="1793" t="s">
        <v>6333</v>
      </c>
      <c r="I702" s="331"/>
      <c r="J702" s="331"/>
      <c r="K702" s="169">
        <v>2023</v>
      </c>
      <c r="L702" s="1446">
        <v>233001.1</v>
      </c>
      <c r="M702" s="1446"/>
      <c r="N702" s="170" t="s">
        <v>165</v>
      </c>
      <c r="O702" s="178" t="s">
        <v>4858</v>
      </c>
      <c r="P702" s="172" t="s">
        <v>46</v>
      </c>
      <c r="Q702" s="173" t="s">
        <v>4870</v>
      </c>
      <c r="R702" s="173" t="s">
        <v>2578</v>
      </c>
      <c r="S702" s="174">
        <f>2800*1.16</f>
        <v>3248</v>
      </c>
      <c r="T702" s="175">
        <v>44929</v>
      </c>
      <c r="U702" s="176">
        <v>44929</v>
      </c>
      <c r="V702" s="177">
        <v>44985</v>
      </c>
      <c r="W702" s="105" t="s">
        <v>67</v>
      </c>
      <c r="X702" s="178" t="s">
        <v>4871</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3947</v>
      </c>
      <c r="CF702" s="866"/>
    </row>
    <row r="703" spans="1:84" ht="138" hidden="1" customHeight="1">
      <c r="A703" s="1467"/>
      <c r="B703" s="22"/>
      <c r="C703" s="122"/>
      <c r="D703" s="22"/>
      <c r="E703" s="921"/>
      <c r="F703" s="921"/>
      <c r="G703" s="925"/>
      <c r="H703" s="1793" t="s">
        <v>6333</v>
      </c>
      <c r="I703" s="331"/>
      <c r="J703" s="331"/>
      <c r="K703" s="169">
        <v>2023</v>
      </c>
      <c r="L703" s="1446">
        <v>233002</v>
      </c>
      <c r="M703" s="1446"/>
      <c r="N703" s="170" t="s">
        <v>165</v>
      </c>
      <c r="O703" s="178" t="s">
        <v>4859</v>
      </c>
      <c r="P703" s="172" t="s">
        <v>46</v>
      </c>
      <c r="Q703" s="173" t="s">
        <v>5586</v>
      </c>
      <c r="R703" s="173" t="s">
        <v>2578</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3947</v>
      </c>
      <c r="CF703" s="866"/>
    </row>
    <row r="704" spans="1:84" ht="105" hidden="1" customHeight="1">
      <c r="A704" s="1467"/>
      <c r="B704" s="22"/>
      <c r="C704" s="122"/>
      <c r="D704" s="22"/>
      <c r="E704" s="921"/>
      <c r="F704" s="921"/>
      <c r="G704" s="925"/>
      <c r="H704" s="1793" t="s">
        <v>6333</v>
      </c>
      <c r="I704" s="331"/>
      <c r="J704" s="331"/>
      <c r="K704" s="169">
        <v>2023</v>
      </c>
      <c r="L704" s="1446">
        <v>233003</v>
      </c>
      <c r="M704" s="1446"/>
      <c r="N704" s="170" t="s">
        <v>165</v>
      </c>
      <c r="O704" s="178" t="s">
        <v>4860</v>
      </c>
      <c r="P704" s="172" t="s">
        <v>46</v>
      </c>
      <c r="Q704" s="173" t="s">
        <v>5587</v>
      </c>
      <c r="R704" s="173" t="s">
        <v>2578</v>
      </c>
      <c r="S704" s="174">
        <f>51450*1.16</f>
        <v>59681.999999999993</v>
      </c>
      <c r="T704" s="175">
        <v>44956</v>
      </c>
      <c r="U704" s="176">
        <v>44958</v>
      </c>
      <c r="V704" s="177">
        <v>44985</v>
      </c>
      <c r="W704" s="105" t="s">
        <v>67</v>
      </c>
      <c r="X704" s="178" t="s">
        <v>4869</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3947</v>
      </c>
      <c r="CF704" s="866"/>
    </row>
    <row r="705" spans="1:84" ht="102.75" hidden="1" customHeight="1">
      <c r="A705" s="1467"/>
      <c r="B705" s="22"/>
      <c r="C705" s="122"/>
      <c r="D705" s="22"/>
      <c r="E705" s="921"/>
      <c r="F705" s="921"/>
      <c r="G705" s="925"/>
      <c r="H705" s="1793" t="s">
        <v>6333</v>
      </c>
      <c r="I705" s="331"/>
      <c r="J705" s="331"/>
      <c r="K705" s="169">
        <v>2023</v>
      </c>
      <c r="L705" s="1446">
        <v>233004</v>
      </c>
      <c r="M705" s="1446"/>
      <c r="N705" s="170" t="s">
        <v>165</v>
      </c>
      <c r="O705" s="178" t="s">
        <v>4861</v>
      </c>
      <c r="P705" s="172" t="s">
        <v>46</v>
      </c>
      <c r="Q705" s="173" t="s">
        <v>5588</v>
      </c>
      <c r="R705" s="173" t="s">
        <v>2518</v>
      </c>
      <c r="S705" s="174">
        <f>550*1.16</f>
        <v>638</v>
      </c>
      <c r="T705" s="582">
        <v>44981</v>
      </c>
      <c r="U705" s="176">
        <v>44985</v>
      </c>
      <c r="V705" s="177">
        <v>44989</v>
      </c>
      <c r="W705" s="105" t="s">
        <v>67</v>
      </c>
      <c r="X705" s="178" t="s">
        <v>4365</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3947</v>
      </c>
      <c r="CF705" s="866"/>
    </row>
    <row r="706" spans="1:84" ht="93" hidden="1" customHeight="1">
      <c r="A706" s="1467"/>
      <c r="B706" s="22"/>
      <c r="C706" s="122"/>
      <c r="D706" s="22"/>
      <c r="E706" s="921"/>
      <c r="F706" s="921"/>
      <c r="G706" s="925"/>
      <c r="H706" s="1793" t="s">
        <v>6333</v>
      </c>
      <c r="I706" s="331"/>
      <c r="J706" s="331"/>
      <c r="K706" s="169">
        <v>2023</v>
      </c>
      <c r="L706" s="1446">
        <v>233005</v>
      </c>
      <c r="M706" s="1446"/>
      <c r="N706" s="170" t="s">
        <v>165</v>
      </c>
      <c r="O706" s="178" t="s">
        <v>4862</v>
      </c>
      <c r="P706" s="172" t="s">
        <v>46</v>
      </c>
      <c r="Q706" s="173" t="s">
        <v>5589</v>
      </c>
      <c r="R706" s="173" t="s">
        <v>2578</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3947</v>
      </c>
      <c r="CF706" s="866"/>
    </row>
    <row r="707" spans="1:84" ht="96.75" hidden="1" customHeight="1">
      <c r="A707" s="1467"/>
      <c r="B707" s="22"/>
      <c r="C707" s="122"/>
      <c r="D707" s="22"/>
      <c r="E707" s="921"/>
      <c r="F707" s="921"/>
      <c r="G707" s="925"/>
      <c r="H707" s="1793" t="s">
        <v>6333</v>
      </c>
      <c r="I707" s="331"/>
      <c r="J707" s="331"/>
      <c r="K707" s="169">
        <v>2023</v>
      </c>
      <c r="L707" s="1446">
        <v>233006</v>
      </c>
      <c r="M707" s="1446"/>
      <c r="N707" s="170" t="s">
        <v>165</v>
      </c>
      <c r="O707" s="178" t="s">
        <v>4863</v>
      </c>
      <c r="P707" s="172" t="s">
        <v>46</v>
      </c>
      <c r="Q707" s="173" t="s">
        <v>5591</v>
      </c>
      <c r="R707" s="173" t="s">
        <v>2578</v>
      </c>
      <c r="S707" s="174">
        <f>51450*1.16</f>
        <v>59681.999999999993</v>
      </c>
      <c r="T707" s="582">
        <v>45015</v>
      </c>
      <c r="U707" s="176">
        <v>45017</v>
      </c>
      <c r="V707" s="177">
        <v>45046</v>
      </c>
      <c r="W707" s="105" t="s">
        <v>67</v>
      </c>
      <c r="X707" s="178" t="s">
        <v>4869</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3947</v>
      </c>
      <c r="CF707" s="866"/>
    </row>
    <row r="708" spans="1:84" ht="79.5" hidden="1" customHeight="1">
      <c r="A708" s="1467"/>
      <c r="B708" s="22"/>
      <c r="C708" s="122"/>
      <c r="D708" s="22"/>
      <c r="E708" s="921"/>
      <c r="F708" s="921"/>
      <c r="G708" s="925"/>
      <c r="H708" s="1793" t="s">
        <v>6333</v>
      </c>
      <c r="I708" s="331"/>
      <c r="J708" s="331"/>
      <c r="K708" s="169">
        <v>2023</v>
      </c>
      <c r="L708" s="1446">
        <v>233006.1</v>
      </c>
      <c r="M708" s="1446"/>
      <c r="N708" s="170" t="s">
        <v>165</v>
      </c>
      <c r="O708" s="178" t="s">
        <v>5553</v>
      </c>
      <c r="P708" s="172" t="s">
        <v>46</v>
      </c>
      <c r="Q708" s="173" t="s">
        <v>5592</v>
      </c>
      <c r="R708" s="173" t="s">
        <v>2578</v>
      </c>
      <c r="S708" s="174">
        <f>4094.83*1.16</f>
        <v>4750.0027999999993</v>
      </c>
      <c r="T708" s="582">
        <v>45033</v>
      </c>
      <c r="U708" s="176">
        <v>45033</v>
      </c>
      <c r="V708" s="177">
        <v>45094</v>
      </c>
      <c r="W708" s="105" t="s">
        <v>67</v>
      </c>
      <c r="X708" s="178" t="s">
        <v>5595</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3947</v>
      </c>
      <c r="CF708" s="866"/>
    </row>
    <row r="709" spans="1:84" ht="76.5" hidden="1" customHeight="1">
      <c r="A709" s="1467"/>
      <c r="B709" s="22"/>
      <c r="C709" s="122"/>
      <c r="D709" s="22"/>
      <c r="E709" s="921"/>
      <c r="F709" s="921"/>
      <c r="G709" s="925"/>
      <c r="H709" s="1793" t="s">
        <v>6333</v>
      </c>
      <c r="I709" s="331"/>
      <c r="J709" s="331"/>
      <c r="K709" s="169">
        <v>2023</v>
      </c>
      <c r="L709" s="1446">
        <v>233006.2</v>
      </c>
      <c r="M709" s="1446"/>
      <c r="N709" s="170" t="s">
        <v>165</v>
      </c>
      <c r="O709" s="178" t="s">
        <v>5554</v>
      </c>
      <c r="P709" s="172" t="s">
        <v>46</v>
      </c>
      <c r="Q709" s="173" t="s">
        <v>5596</v>
      </c>
      <c r="R709" s="173" t="s">
        <v>2578</v>
      </c>
      <c r="S709" s="174">
        <f>1637.93*1.16</f>
        <v>1899.9987999999998</v>
      </c>
      <c r="T709" s="582">
        <v>45033</v>
      </c>
      <c r="U709" s="176">
        <v>45033</v>
      </c>
      <c r="V709" s="177">
        <v>45094</v>
      </c>
      <c r="W709" s="105" t="s">
        <v>67</v>
      </c>
      <c r="X709" s="178" t="s">
        <v>5595</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3947</v>
      </c>
      <c r="CF709" s="866"/>
    </row>
    <row r="710" spans="1:84" ht="131.25" hidden="1" customHeight="1">
      <c r="A710" s="1467"/>
      <c r="B710" s="22"/>
      <c r="C710" s="122"/>
      <c r="D710" s="22"/>
      <c r="E710" s="921"/>
      <c r="F710" s="921"/>
      <c r="G710" s="925"/>
      <c r="H710" s="1793" t="s">
        <v>6333</v>
      </c>
      <c r="I710" s="331"/>
      <c r="J710" s="331"/>
      <c r="K710" s="169">
        <v>2023</v>
      </c>
      <c r="L710" s="1446">
        <v>233007</v>
      </c>
      <c r="M710" s="1446"/>
      <c r="N710" s="170" t="s">
        <v>165</v>
      </c>
      <c r="O710" s="178" t="s">
        <v>4864</v>
      </c>
      <c r="P710" s="172" t="s">
        <v>46</v>
      </c>
      <c r="Q710" s="173" t="s">
        <v>5597</v>
      </c>
      <c r="R710" s="173" t="s">
        <v>2578</v>
      </c>
      <c r="S710" s="174">
        <f>4500*1.16</f>
        <v>5220</v>
      </c>
      <c r="T710" s="582">
        <v>45034</v>
      </c>
      <c r="U710" s="176">
        <v>45036</v>
      </c>
      <c r="V710" s="177">
        <v>45066</v>
      </c>
      <c r="W710" s="105" t="s">
        <v>67</v>
      </c>
      <c r="X710" s="178" t="s">
        <v>4365</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3947</v>
      </c>
      <c r="CF710" s="866"/>
    </row>
    <row r="711" spans="1:84" ht="138" hidden="1" customHeight="1">
      <c r="A711" s="1467"/>
      <c r="B711" s="22"/>
      <c r="C711" s="122"/>
      <c r="D711" s="22"/>
      <c r="E711" s="921"/>
      <c r="F711" s="921"/>
      <c r="G711" s="925"/>
      <c r="H711" s="1793" t="s">
        <v>6333</v>
      </c>
      <c r="I711" s="331"/>
      <c r="J711" s="331"/>
      <c r="K711" s="169">
        <v>2023</v>
      </c>
      <c r="L711" s="1446">
        <v>233008</v>
      </c>
      <c r="M711" s="1446"/>
      <c r="N711" s="170" t="s">
        <v>165</v>
      </c>
      <c r="O711" s="178" t="s">
        <v>4865</v>
      </c>
      <c r="P711" s="172" t="s">
        <v>46</v>
      </c>
      <c r="Q711" s="173" t="s">
        <v>5598</v>
      </c>
      <c r="R711" s="173" t="s">
        <v>1975</v>
      </c>
      <c r="S711" s="174">
        <f>4500*1.16</f>
        <v>5220</v>
      </c>
      <c r="T711" s="582">
        <v>45034</v>
      </c>
      <c r="U711" s="176">
        <v>45036</v>
      </c>
      <c r="V711" s="177">
        <v>45066</v>
      </c>
      <c r="W711" s="105" t="s">
        <v>67</v>
      </c>
      <c r="X711" s="178" t="s">
        <v>4365</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3947</v>
      </c>
      <c r="CF711" s="866"/>
    </row>
    <row r="712" spans="1:84" ht="134.25" hidden="1" customHeight="1">
      <c r="A712" s="1467"/>
      <c r="B712" s="22"/>
      <c r="C712" s="122"/>
      <c r="D712" s="22"/>
      <c r="E712" s="921"/>
      <c r="F712" s="921"/>
      <c r="G712" s="925"/>
      <c r="H712" s="1793" t="s">
        <v>6333</v>
      </c>
      <c r="I712" s="331"/>
      <c r="J712" s="331"/>
      <c r="K712" s="169">
        <v>2023</v>
      </c>
      <c r="L712" s="1446">
        <v>233009</v>
      </c>
      <c r="M712" s="1446"/>
      <c r="N712" s="170" t="s">
        <v>165</v>
      </c>
      <c r="O712" s="178" t="s">
        <v>4866</v>
      </c>
      <c r="P712" s="172" t="s">
        <v>46</v>
      </c>
      <c r="Q712" s="173" t="s">
        <v>5599</v>
      </c>
      <c r="R712" s="173" t="s">
        <v>1975</v>
      </c>
      <c r="S712" s="174">
        <f>600*1.16</f>
        <v>696</v>
      </c>
      <c r="T712" s="582">
        <v>44972</v>
      </c>
      <c r="U712" s="176">
        <v>44974</v>
      </c>
      <c r="V712" s="177">
        <v>44976</v>
      </c>
      <c r="W712" s="105" t="s">
        <v>67</v>
      </c>
      <c r="X712" s="178" t="s">
        <v>4365</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3947</v>
      </c>
      <c r="CF712" s="866"/>
    </row>
    <row r="713" spans="1:84" ht="138" hidden="1" customHeight="1">
      <c r="A713" s="1467"/>
      <c r="B713" s="22"/>
      <c r="C713" s="122"/>
      <c r="D713" s="22"/>
      <c r="E713" s="921"/>
      <c r="F713" s="921"/>
      <c r="G713" s="925"/>
      <c r="H713" s="1793" t="s">
        <v>6333</v>
      </c>
      <c r="I713" s="331"/>
      <c r="J713" s="331"/>
      <c r="K713" s="169">
        <v>2023</v>
      </c>
      <c r="L713" s="1446">
        <v>233010</v>
      </c>
      <c r="M713" s="1446"/>
      <c r="N713" s="170" t="s">
        <v>165</v>
      </c>
      <c r="O713" s="178" t="s">
        <v>4867</v>
      </c>
      <c r="P713" s="172" t="s">
        <v>46</v>
      </c>
      <c r="Q713" s="173" t="s">
        <v>5600</v>
      </c>
      <c r="R713" s="173" t="s">
        <v>1975</v>
      </c>
      <c r="S713" s="174">
        <f>650*1.16</f>
        <v>754</v>
      </c>
      <c r="T713" s="582">
        <v>44966</v>
      </c>
      <c r="U713" s="176">
        <v>44970</v>
      </c>
      <c r="V713" s="177">
        <v>44976</v>
      </c>
      <c r="W713" s="105" t="s">
        <v>67</v>
      </c>
      <c r="X713" s="178" t="s">
        <v>4365</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3947</v>
      </c>
      <c r="CF713" s="866"/>
    </row>
    <row r="714" spans="1:84" ht="149.25" hidden="1" customHeight="1">
      <c r="A714" s="1467"/>
      <c r="B714" s="22"/>
      <c r="C714" s="122"/>
      <c r="D714" s="22"/>
      <c r="E714" s="921"/>
      <c r="F714" s="921"/>
      <c r="G714" s="925"/>
      <c r="H714" s="1793" t="s">
        <v>6333</v>
      </c>
      <c r="I714" s="331"/>
      <c r="J714" s="331"/>
      <c r="K714" s="169">
        <v>2023</v>
      </c>
      <c r="L714" s="1446">
        <v>233011</v>
      </c>
      <c r="M714" s="1446"/>
      <c r="N714" s="170" t="s">
        <v>165</v>
      </c>
      <c r="O714" s="178" t="s">
        <v>5555</v>
      </c>
      <c r="P714" s="172" t="s">
        <v>46</v>
      </c>
      <c r="Q714" s="173" t="s">
        <v>5601</v>
      </c>
      <c r="R714" s="173" t="s">
        <v>1975</v>
      </c>
      <c r="S714" s="174">
        <f>880*1.16</f>
        <v>1020.8</v>
      </c>
      <c r="T714" s="582">
        <v>44966</v>
      </c>
      <c r="U714" s="176">
        <v>44970</v>
      </c>
      <c r="V714" s="177">
        <v>44977</v>
      </c>
      <c r="W714" s="105" t="s">
        <v>67</v>
      </c>
      <c r="X714" s="178" t="s">
        <v>4365</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3947</v>
      </c>
      <c r="CF714" s="866"/>
    </row>
    <row r="715" spans="1:84" ht="136.5" hidden="1" customHeight="1">
      <c r="A715" s="1467"/>
      <c r="B715" s="22"/>
      <c r="C715" s="122"/>
      <c r="D715" s="22"/>
      <c r="E715" s="921"/>
      <c r="F715" s="921"/>
      <c r="G715" s="925"/>
      <c r="H715" s="1793" t="s">
        <v>6333</v>
      </c>
      <c r="I715" s="331"/>
      <c r="J715" s="331"/>
      <c r="K715" s="169">
        <v>2023</v>
      </c>
      <c r="L715" s="1446">
        <v>233012</v>
      </c>
      <c r="M715" s="1446"/>
      <c r="N715" s="170" t="s">
        <v>165</v>
      </c>
      <c r="O715" s="178" t="s">
        <v>5556</v>
      </c>
      <c r="P715" s="172" t="s">
        <v>46</v>
      </c>
      <c r="Q715" s="173" t="s">
        <v>5602</v>
      </c>
      <c r="R715" s="173" t="s">
        <v>1975</v>
      </c>
      <c r="S715" s="174">
        <f>650*1.16</f>
        <v>754</v>
      </c>
      <c r="T715" s="582">
        <v>44974</v>
      </c>
      <c r="U715" s="176">
        <v>44977</v>
      </c>
      <c r="V715" s="177">
        <v>44982</v>
      </c>
      <c r="W715" s="105" t="s">
        <v>67</v>
      </c>
      <c r="X715" s="178" t="s">
        <v>4365</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3947</v>
      </c>
      <c r="CF715" s="866"/>
    </row>
    <row r="716" spans="1:84" ht="137.25" hidden="1" customHeight="1">
      <c r="A716" s="1467"/>
      <c r="B716" s="22"/>
      <c r="C716" s="122"/>
      <c r="D716" s="22"/>
      <c r="E716" s="921"/>
      <c r="F716" s="921"/>
      <c r="G716" s="925"/>
      <c r="H716" s="1793" t="s">
        <v>6333</v>
      </c>
      <c r="I716" s="331"/>
      <c r="J716" s="331"/>
      <c r="K716" s="169">
        <v>2023</v>
      </c>
      <c r="L716" s="1446">
        <v>233014</v>
      </c>
      <c r="M716" s="1446"/>
      <c r="N716" s="170" t="s">
        <v>165</v>
      </c>
      <c r="O716" s="178" t="s">
        <v>5608</v>
      </c>
      <c r="P716" s="172" t="s">
        <v>46</v>
      </c>
      <c r="Q716" s="173" t="s">
        <v>5603</v>
      </c>
      <c r="R716" s="173" t="s">
        <v>1975</v>
      </c>
      <c r="S716" s="174">
        <f>880*1.16</f>
        <v>1020.8</v>
      </c>
      <c r="T716" s="582">
        <v>44974</v>
      </c>
      <c r="U716" s="176">
        <v>44977</v>
      </c>
      <c r="V716" s="177">
        <v>44982</v>
      </c>
      <c r="W716" s="105" t="s">
        <v>67</v>
      </c>
      <c r="X716" s="178" t="s">
        <v>4365</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3947</v>
      </c>
      <c r="CF716" s="866"/>
    </row>
    <row r="717" spans="1:84" ht="131.25" hidden="1" customHeight="1">
      <c r="A717" s="1467"/>
      <c r="B717" s="22"/>
      <c r="C717" s="122"/>
      <c r="D717" s="22"/>
      <c r="E717" s="921"/>
      <c r="F717" s="921"/>
      <c r="G717" s="925"/>
      <c r="H717" s="1793" t="s">
        <v>6333</v>
      </c>
      <c r="I717" s="331"/>
      <c r="J717" s="331"/>
      <c r="K717" s="169">
        <v>2023</v>
      </c>
      <c r="L717" s="1446">
        <v>233014</v>
      </c>
      <c r="M717" s="1446"/>
      <c r="N717" s="170" t="s">
        <v>165</v>
      </c>
      <c r="O717" s="178" t="s">
        <v>5557</v>
      </c>
      <c r="P717" s="172" t="s">
        <v>46</v>
      </c>
      <c r="Q717" s="173" t="s">
        <v>5604</v>
      </c>
      <c r="R717" s="173" t="s">
        <v>1975</v>
      </c>
      <c r="S717" s="174">
        <f>600*1.16</f>
        <v>696</v>
      </c>
      <c r="T717" s="582">
        <v>44977</v>
      </c>
      <c r="U717" s="176">
        <v>44978</v>
      </c>
      <c r="V717" s="177">
        <v>44982</v>
      </c>
      <c r="W717" s="105" t="s">
        <v>67</v>
      </c>
      <c r="X717" s="178" t="s">
        <v>4365</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3947</v>
      </c>
      <c r="CF717" s="866"/>
    </row>
    <row r="718" spans="1:84" ht="99" hidden="1" customHeight="1">
      <c r="A718" s="1467"/>
      <c r="B718" s="22"/>
      <c r="C718" s="122"/>
      <c r="D718" s="22"/>
      <c r="E718" s="921"/>
      <c r="F718" s="921"/>
      <c r="G718" s="925"/>
      <c r="H718" s="1793" t="s">
        <v>6333</v>
      </c>
      <c r="I718" s="331"/>
      <c r="J718" s="331"/>
      <c r="K718" s="169">
        <v>2023</v>
      </c>
      <c r="L718" s="1446">
        <v>233015</v>
      </c>
      <c r="M718" s="1446"/>
      <c r="N718" s="170" t="s">
        <v>165</v>
      </c>
      <c r="O718" s="178" t="s">
        <v>5558</v>
      </c>
      <c r="P718" s="172" t="s">
        <v>46</v>
      </c>
      <c r="Q718" s="173" t="s">
        <v>5587</v>
      </c>
      <c r="R718" s="173" t="s">
        <v>2578</v>
      </c>
      <c r="S718" s="174">
        <f>51450*1.16</f>
        <v>59681.999999999993</v>
      </c>
      <c r="T718" s="582">
        <v>45044</v>
      </c>
      <c r="U718" s="176">
        <v>45047</v>
      </c>
      <c r="V718" s="177">
        <v>45077</v>
      </c>
      <c r="W718" s="105" t="s">
        <v>67</v>
      </c>
      <c r="X718" s="178" t="s">
        <v>4869</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3947</v>
      </c>
      <c r="CF718" s="866"/>
    </row>
    <row r="719" spans="1:84" ht="158.25" hidden="1" customHeight="1">
      <c r="A719" s="1467"/>
      <c r="B719" s="22"/>
      <c r="C719" s="122"/>
      <c r="D719" s="22"/>
      <c r="E719" s="921"/>
      <c r="F719" s="921"/>
      <c r="G719" s="925"/>
      <c r="H719" s="1793" t="s">
        <v>6333</v>
      </c>
      <c r="I719" s="331"/>
      <c r="J719" s="331"/>
      <c r="K719" s="169">
        <v>2023</v>
      </c>
      <c r="L719" s="1446">
        <v>233016</v>
      </c>
      <c r="M719" s="1446"/>
      <c r="N719" s="170" t="s">
        <v>165</v>
      </c>
      <c r="O719" s="178" t="s">
        <v>5559</v>
      </c>
      <c r="P719" s="172" t="s">
        <v>46</v>
      </c>
      <c r="Q719" s="173" t="s">
        <v>5605</v>
      </c>
      <c r="R719" s="173" t="s">
        <v>2666</v>
      </c>
      <c r="S719" s="174">
        <f>2500*1.16</f>
        <v>2900</v>
      </c>
      <c r="T719" s="582">
        <v>45113</v>
      </c>
      <c r="U719" s="176">
        <v>45117</v>
      </c>
      <c r="V719" s="177">
        <v>45127</v>
      </c>
      <c r="W719" s="105" t="s">
        <v>67</v>
      </c>
      <c r="X719" s="178" t="s">
        <v>5606</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3947</v>
      </c>
      <c r="CF719" s="866"/>
    </row>
    <row r="720" spans="1:84" ht="99" hidden="1" customHeight="1">
      <c r="A720" s="1467"/>
      <c r="B720" s="22"/>
      <c r="C720" s="122"/>
      <c r="D720" s="22"/>
      <c r="E720" s="921"/>
      <c r="F720" s="921"/>
      <c r="G720" s="925"/>
      <c r="H720" s="1793" t="s">
        <v>6333</v>
      </c>
      <c r="I720" s="331"/>
      <c r="J720" s="331"/>
      <c r="K720" s="169">
        <v>2023</v>
      </c>
      <c r="L720" s="1446">
        <v>233017</v>
      </c>
      <c r="M720" s="1446"/>
      <c r="N720" s="170" t="s">
        <v>165</v>
      </c>
      <c r="O720" s="178" t="s">
        <v>5560</v>
      </c>
      <c r="P720" s="172" t="s">
        <v>46</v>
      </c>
      <c r="Q720" s="173" t="s">
        <v>5607</v>
      </c>
      <c r="R720" s="173" t="s">
        <v>2617</v>
      </c>
      <c r="S720" s="174">
        <f>600*1.16</f>
        <v>696</v>
      </c>
      <c r="T720" s="582">
        <v>45133</v>
      </c>
      <c r="U720" s="176">
        <v>45139</v>
      </c>
      <c r="V720" s="177">
        <v>45148</v>
      </c>
      <c r="W720" s="105" t="s">
        <v>67</v>
      </c>
      <c r="X720" s="178" t="s">
        <v>5606</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3947</v>
      </c>
      <c r="CF720" s="866"/>
    </row>
    <row r="721" spans="1:84" ht="100.5" hidden="1" customHeight="1">
      <c r="A721" s="1467"/>
      <c r="B721" s="22"/>
      <c r="C721" s="122"/>
      <c r="D721" s="22"/>
      <c r="E721" s="921"/>
      <c r="F721" s="921"/>
      <c r="G721" s="925"/>
      <c r="H721" s="1793" t="s">
        <v>6333</v>
      </c>
      <c r="I721" s="331"/>
      <c r="J721" s="331"/>
      <c r="K721" s="169">
        <v>2023</v>
      </c>
      <c r="L721" s="1446">
        <v>233018</v>
      </c>
      <c r="M721" s="1446"/>
      <c r="N721" s="170" t="s">
        <v>165</v>
      </c>
      <c r="O721" s="178" t="s">
        <v>5561</v>
      </c>
      <c r="P721" s="172" t="s">
        <v>46</v>
      </c>
      <c r="Q721" s="173" t="s">
        <v>5587</v>
      </c>
      <c r="R721" s="173" t="s">
        <v>2578</v>
      </c>
      <c r="S721" s="174">
        <f>49000*1.16</f>
        <v>56839.999999999993</v>
      </c>
      <c r="T721" s="175">
        <v>45077</v>
      </c>
      <c r="U721" s="176">
        <v>45078</v>
      </c>
      <c r="V721" s="177">
        <v>45138</v>
      </c>
      <c r="W721" s="105" t="s">
        <v>67</v>
      </c>
      <c r="X721" s="1758" t="s">
        <v>5883</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3947</v>
      </c>
      <c r="CF721" s="866"/>
    </row>
    <row r="722" spans="1:84" ht="105" hidden="1" customHeight="1">
      <c r="A722" s="1467"/>
      <c r="B722" s="22"/>
      <c r="C722" s="122"/>
      <c r="D722" s="22"/>
      <c r="E722" s="921"/>
      <c r="F722" s="921"/>
      <c r="G722" s="925"/>
      <c r="H722" s="1793" t="s">
        <v>6333</v>
      </c>
      <c r="I722" s="331"/>
      <c r="J722" s="331"/>
      <c r="K722" s="169">
        <v>2023</v>
      </c>
      <c r="L722" s="1446">
        <v>233019</v>
      </c>
      <c r="M722" s="1446"/>
      <c r="N722" s="170" t="s">
        <v>165</v>
      </c>
      <c r="O722" s="178" t="s">
        <v>5562</v>
      </c>
      <c r="P722" s="172" t="s">
        <v>46</v>
      </c>
      <c r="Q722" s="173" t="s">
        <v>5956</v>
      </c>
      <c r="R722" s="173" t="s">
        <v>1975</v>
      </c>
      <c r="S722" s="174">
        <f>672*1.16</f>
        <v>779.52</v>
      </c>
      <c r="T722" s="175">
        <v>45210</v>
      </c>
      <c r="U722" s="176">
        <v>45215</v>
      </c>
      <c r="V722" s="177">
        <v>45217</v>
      </c>
      <c r="W722" s="105" t="s">
        <v>67</v>
      </c>
      <c r="X722" s="178" t="s">
        <v>4365</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3947</v>
      </c>
      <c r="CF722" s="866"/>
    </row>
    <row r="723" spans="1:84" ht="129" hidden="1" customHeight="1">
      <c r="A723" s="1467"/>
      <c r="B723" s="22"/>
      <c r="C723" s="122"/>
      <c r="D723" s="22"/>
      <c r="E723" s="921"/>
      <c r="F723" s="921"/>
      <c r="G723" s="925"/>
      <c r="H723" s="1793" t="s">
        <v>6333</v>
      </c>
      <c r="I723" s="331"/>
      <c r="J723" s="331"/>
      <c r="K723" s="169">
        <v>2023</v>
      </c>
      <c r="L723" s="1446">
        <v>233020</v>
      </c>
      <c r="M723" s="1446"/>
      <c r="N723" s="170" t="s">
        <v>165</v>
      </c>
      <c r="O723" s="178" t="s">
        <v>5563</v>
      </c>
      <c r="P723" s="172" t="s">
        <v>46</v>
      </c>
      <c r="Q723" s="173" t="s">
        <v>5957</v>
      </c>
      <c r="R723" s="173" t="s">
        <v>2541</v>
      </c>
      <c r="S723" s="174">
        <f>630*1.16</f>
        <v>730.8</v>
      </c>
      <c r="T723" s="175">
        <v>45204</v>
      </c>
      <c r="U723" s="176">
        <v>45208</v>
      </c>
      <c r="V723" s="177">
        <v>45240</v>
      </c>
      <c r="W723" s="105" t="s">
        <v>67</v>
      </c>
      <c r="X723" s="178" t="s">
        <v>4365</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3947</v>
      </c>
      <c r="CF723" s="866"/>
    </row>
    <row r="724" spans="1:84" ht="129.75" hidden="1" customHeight="1">
      <c r="A724" s="1467"/>
      <c r="B724" s="22"/>
      <c r="C724" s="122"/>
      <c r="D724" s="22"/>
      <c r="E724" s="921"/>
      <c r="F724" s="921"/>
      <c r="G724" s="925"/>
      <c r="H724" s="1793" t="s">
        <v>6333</v>
      </c>
      <c r="I724" s="331"/>
      <c r="J724" s="331"/>
      <c r="K724" s="169">
        <v>2023</v>
      </c>
      <c r="L724" s="1446">
        <v>233021</v>
      </c>
      <c r="M724" s="1446"/>
      <c r="N724" s="170" t="s">
        <v>165</v>
      </c>
      <c r="O724" s="178" t="s">
        <v>5921</v>
      </c>
      <c r="P724" s="172" t="s">
        <v>46</v>
      </c>
      <c r="Q724" s="173" t="s">
        <v>5958</v>
      </c>
      <c r="R724" s="173" t="s">
        <v>2541</v>
      </c>
      <c r="S724" s="174">
        <f>650*1.16</f>
        <v>754</v>
      </c>
      <c r="T724" s="175">
        <v>45204</v>
      </c>
      <c r="U724" s="176">
        <v>45208</v>
      </c>
      <c r="V724" s="177">
        <v>45240</v>
      </c>
      <c r="W724" s="105" t="s">
        <v>67</v>
      </c>
      <c r="X724" s="178" t="s">
        <v>4365</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3947</v>
      </c>
      <c r="CF724" s="866"/>
    </row>
    <row r="725" spans="1:84" ht="126.75" hidden="1" customHeight="1">
      <c r="A725" s="1467"/>
      <c r="B725" s="22"/>
      <c r="C725" s="122"/>
      <c r="D725" s="22"/>
      <c r="E725" s="921"/>
      <c r="F725" s="921"/>
      <c r="G725" s="925"/>
      <c r="H725" s="1793" t="s">
        <v>6333</v>
      </c>
      <c r="I725" s="331"/>
      <c r="J725" s="331"/>
      <c r="K725" s="169">
        <v>2023</v>
      </c>
      <c r="L725" s="1446">
        <v>233022</v>
      </c>
      <c r="M725" s="1446"/>
      <c r="N725" s="170" t="s">
        <v>165</v>
      </c>
      <c r="O725" s="178" t="s">
        <v>5922</v>
      </c>
      <c r="P725" s="172" t="s">
        <v>46</v>
      </c>
      <c r="Q725" s="173" t="s">
        <v>5959</v>
      </c>
      <c r="R725" s="173" t="s">
        <v>2541</v>
      </c>
      <c r="S725" s="174">
        <f>500*1.16</f>
        <v>580</v>
      </c>
      <c r="T725" s="175">
        <v>45204</v>
      </c>
      <c r="U725" s="176">
        <v>45208</v>
      </c>
      <c r="V725" s="177">
        <v>45240</v>
      </c>
      <c r="W725" s="105" t="s">
        <v>67</v>
      </c>
      <c r="X725" s="178" t="s">
        <v>4365</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3947</v>
      </c>
      <c r="CF725" s="866"/>
    </row>
    <row r="726" spans="1:84" ht="123" hidden="1" customHeight="1">
      <c r="A726" s="1467"/>
      <c r="B726" s="22"/>
      <c r="C726" s="122"/>
      <c r="D726" s="22"/>
      <c r="E726" s="921"/>
      <c r="F726" s="921"/>
      <c r="G726" s="925"/>
      <c r="H726" s="1793" t="s">
        <v>6333</v>
      </c>
      <c r="I726" s="331"/>
      <c r="J726" s="331"/>
      <c r="K726" s="169">
        <v>2023</v>
      </c>
      <c r="L726" s="1446">
        <v>233023</v>
      </c>
      <c r="M726" s="1446"/>
      <c r="N726" s="170" t="s">
        <v>165</v>
      </c>
      <c r="O726" s="178" t="s">
        <v>5923</v>
      </c>
      <c r="P726" s="172" t="s">
        <v>46</v>
      </c>
      <c r="Q726" s="173" t="s">
        <v>5960</v>
      </c>
      <c r="R726" s="173" t="s">
        <v>2541</v>
      </c>
      <c r="S726" s="174">
        <f>500*1.16</f>
        <v>580</v>
      </c>
      <c r="T726" s="175">
        <v>45204</v>
      </c>
      <c r="U726" s="176">
        <v>45208</v>
      </c>
      <c r="V726" s="177">
        <v>45240</v>
      </c>
      <c r="W726" s="105" t="s">
        <v>67</v>
      </c>
      <c r="X726" s="178" t="s">
        <v>4365</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3947</v>
      </c>
      <c r="CF726" s="866"/>
    </row>
    <row r="727" spans="1:84" ht="34.5" hidden="1" customHeight="1">
      <c r="A727" s="1467"/>
      <c r="B727" s="22"/>
      <c r="C727" s="122"/>
      <c r="D727" s="22"/>
      <c r="E727" s="921"/>
      <c r="F727" s="921"/>
      <c r="G727" s="925"/>
      <c r="H727" s="1793" t="s">
        <v>1294</v>
      </c>
      <c r="I727" s="331"/>
      <c r="J727" s="331"/>
      <c r="K727" s="169">
        <v>2023</v>
      </c>
      <c r="L727" s="1446">
        <v>233037</v>
      </c>
      <c r="M727" s="1446"/>
      <c r="N727" s="170" t="s">
        <v>165</v>
      </c>
      <c r="O727" s="178" t="s">
        <v>5916</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3947</v>
      </c>
      <c r="CF727" s="866"/>
    </row>
    <row r="728" spans="1:84" ht="102.75" hidden="1" customHeight="1">
      <c r="A728" s="1467"/>
      <c r="B728" s="814"/>
      <c r="C728" s="122"/>
      <c r="D728" s="22"/>
      <c r="E728" s="921">
        <v>45170</v>
      </c>
      <c r="F728" s="921"/>
      <c r="G728" s="925">
        <v>45274</v>
      </c>
      <c r="H728" s="1793" t="s">
        <v>6333</v>
      </c>
      <c r="I728" s="331">
        <v>45332</v>
      </c>
      <c r="J728" s="331"/>
      <c r="K728" s="169">
        <v>2023</v>
      </c>
      <c r="L728" s="1446">
        <v>234001</v>
      </c>
      <c r="M728" s="1446"/>
      <c r="N728" s="170" t="s">
        <v>165</v>
      </c>
      <c r="O728" s="178" t="s">
        <v>5372</v>
      </c>
      <c r="P728" s="172" t="s">
        <v>4035</v>
      </c>
      <c r="Q728" s="452" t="s">
        <v>5483</v>
      </c>
      <c r="R728" s="173" t="s">
        <v>1975</v>
      </c>
      <c r="S728" s="586">
        <v>307647.35999999999</v>
      </c>
      <c r="T728" s="175">
        <v>44967</v>
      </c>
      <c r="U728" s="176">
        <v>44968</v>
      </c>
      <c r="V728" s="177">
        <v>44985</v>
      </c>
      <c r="W728" s="105" t="s">
        <v>67</v>
      </c>
      <c r="X728" s="178" t="s">
        <v>67</v>
      </c>
      <c r="Y728" s="1067" t="s">
        <v>69</v>
      </c>
      <c r="Z728" s="1115" t="s">
        <v>1427</v>
      </c>
      <c r="AA728" s="369" t="s">
        <v>5821</v>
      </c>
      <c r="AB728" s="242" t="s">
        <v>5672</v>
      </c>
      <c r="AC728" s="8">
        <v>44995</v>
      </c>
      <c r="AD728" s="4">
        <v>254339.78</v>
      </c>
      <c r="AE728" s="4"/>
      <c r="AF728" s="32"/>
      <c r="AG728" s="1773" t="s">
        <v>67</v>
      </c>
      <c r="AH728" s="1774" t="s">
        <v>67</v>
      </c>
      <c r="AI728" s="1774" t="s">
        <v>67</v>
      </c>
      <c r="AJ728" s="1775" t="s">
        <v>67</v>
      </c>
      <c r="AK728" s="1776" t="s">
        <v>67</v>
      </c>
      <c r="AL728" s="1777" t="s">
        <v>67</v>
      </c>
      <c r="AM728" s="1680" t="s">
        <v>67</v>
      </c>
      <c r="AN728" s="1704"/>
      <c r="AO728" s="1680" t="s">
        <v>67</v>
      </c>
      <c r="AP728" s="1704"/>
      <c r="AQ728" s="1680" t="s">
        <v>67</v>
      </c>
      <c r="AR728" s="1704"/>
      <c r="AS728" s="1778"/>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3947</v>
      </c>
      <c r="CF728" s="866"/>
    </row>
    <row r="729" spans="1:84" ht="69" hidden="1" customHeight="1">
      <c r="A729" s="1467"/>
      <c r="B729" s="814"/>
      <c r="C729" s="122"/>
      <c r="D729" s="22"/>
      <c r="E729" s="921"/>
      <c r="F729" s="921"/>
      <c r="G729" s="925">
        <v>45331</v>
      </c>
      <c r="H729" s="1793" t="s">
        <v>6333</v>
      </c>
      <c r="I729" s="331">
        <v>45302</v>
      </c>
      <c r="J729" s="331"/>
      <c r="K729" s="169">
        <v>2023</v>
      </c>
      <c r="L729" s="1446">
        <v>234002</v>
      </c>
      <c r="M729" s="1446"/>
      <c r="N729" s="1759" t="s">
        <v>5896</v>
      </c>
      <c r="O729" s="178" t="s">
        <v>5373</v>
      </c>
      <c r="P729" s="172" t="s">
        <v>4035</v>
      </c>
      <c r="Q729" s="173" t="s">
        <v>5838</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77" t="s">
        <v>67</v>
      </c>
      <c r="AM729" s="1680" t="s">
        <v>67</v>
      </c>
      <c r="AN729" s="1704"/>
      <c r="AO729" s="1680" t="s">
        <v>67</v>
      </c>
      <c r="AP729" s="1704"/>
      <c r="AQ729" s="1680" t="s">
        <v>67</v>
      </c>
      <c r="AR729" s="1704"/>
      <c r="AS729" s="1778"/>
      <c r="AT729" s="35">
        <v>0</v>
      </c>
      <c r="AU729" s="905">
        <v>27472.5</v>
      </c>
      <c r="AV729" s="901"/>
      <c r="AW729" s="231"/>
      <c r="AX729" s="11"/>
      <c r="AY729" s="189">
        <v>0</v>
      </c>
      <c r="AZ729" s="73">
        <v>0</v>
      </c>
      <c r="BA729" s="30">
        <v>45039</v>
      </c>
      <c r="BB729" s="5">
        <v>45036</v>
      </c>
      <c r="BC729" s="5">
        <v>45038</v>
      </c>
      <c r="BD729" s="11"/>
      <c r="BE729" s="30">
        <v>45040</v>
      </c>
      <c r="BF729" s="202" t="s">
        <v>5373</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3947</v>
      </c>
      <c r="CF729" s="866"/>
    </row>
    <row r="730" spans="1:84" ht="95.25" hidden="1" customHeight="1">
      <c r="A730" s="1467"/>
      <c r="B730" s="814"/>
      <c r="C730" s="122"/>
      <c r="D730" s="22"/>
      <c r="E730" s="921"/>
      <c r="F730" s="921"/>
      <c r="G730" s="925">
        <v>45330</v>
      </c>
      <c r="H730" s="1793" t="s">
        <v>6333</v>
      </c>
      <c r="I730" s="331">
        <v>45332</v>
      </c>
      <c r="J730" s="331"/>
      <c r="K730" s="169">
        <v>2023</v>
      </c>
      <c r="L730" s="1446">
        <v>234003</v>
      </c>
      <c r="M730" s="1446"/>
      <c r="N730" s="170" t="s">
        <v>165</v>
      </c>
      <c r="O730" s="178" t="s">
        <v>5374</v>
      </c>
      <c r="P730" s="172" t="s">
        <v>4035</v>
      </c>
      <c r="Q730" s="173" t="s">
        <v>5885</v>
      </c>
      <c r="R730" s="173" t="s">
        <v>2541</v>
      </c>
      <c r="S730" s="586">
        <v>495788.04</v>
      </c>
      <c r="T730" s="175">
        <v>45557</v>
      </c>
      <c r="U730" s="176">
        <v>45208</v>
      </c>
      <c r="V730" s="177">
        <v>45240</v>
      </c>
      <c r="W730" s="105" t="s">
        <v>67</v>
      </c>
      <c r="X730" s="178" t="s">
        <v>67</v>
      </c>
      <c r="Y730" s="170" t="s">
        <v>69</v>
      </c>
      <c r="Z730" s="1115" t="s">
        <v>1427</v>
      </c>
      <c r="AA730" s="1412"/>
      <c r="AB730" s="242" t="s">
        <v>5963</v>
      </c>
      <c r="AC730" s="8">
        <v>45166</v>
      </c>
      <c r="AD730" s="4">
        <v>495788.04</v>
      </c>
      <c r="AE730" s="4"/>
      <c r="AF730" s="32"/>
      <c r="AG730" s="1773" t="s">
        <v>67</v>
      </c>
      <c r="AH730" s="1774" t="s">
        <v>67</v>
      </c>
      <c r="AI730" s="1774" t="s">
        <v>67</v>
      </c>
      <c r="AJ730" s="1775" t="s">
        <v>67</v>
      </c>
      <c r="AK730" s="1776" t="s">
        <v>67</v>
      </c>
      <c r="AL730" s="1777" t="s">
        <v>67</v>
      </c>
      <c r="AM730" s="1680" t="s">
        <v>67</v>
      </c>
      <c r="AN730" s="1704"/>
      <c r="AO730" s="1680" t="s">
        <v>67</v>
      </c>
      <c r="AP730" s="1704"/>
      <c r="AQ730" s="1680" t="s">
        <v>67</v>
      </c>
      <c r="AR730" s="1704"/>
      <c r="AS730" s="1778"/>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3947</v>
      </c>
      <c r="CF730" s="866"/>
    </row>
    <row r="731" spans="1:84" ht="73.5" hidden="1" customHeight="1">
      <c r="A731" s="1467"/>
      <c r="B731" s="814"/>
      <c r="C731" s="122"/>
      <c r="D731" s="22"/>
      <c r="E731" s="921"/>
      <c r="F731" s="921"/>
      <c r="G731" s="925">
        <v>45330</v>
      </c>
      <c r="H731" s="1793" t="s">
        <v>6333</v>
      </c>
      <c r="I731" s="331"/>
      <c r="J731" s="331"/>
      <c r="K731" s="169">
        <v>2023</v>
      </c>
      <c r="L731" s="1446">
        <v>234004</v>
      </c>
      <c r="M731" s="1446"/>
      <c r="N731" s="170" t="s">
        <v>165</v>
      </c>
      <c r="O731" s="178" t="s">
        <v>5375</v>
      </c>
      <c r="P731" s="172" t="s">
        <v>4035</v>
      </c>
      <c r="Q731" s="173" t="s">
        <v>5886</v>
      </c>
      <c r="R731" s="173" t="s">
        <v>1975</v>
      </c>
      <c r="S731" s="586">
        <v>80000</v>
      </c>
      <c r="T731" s="175">
        <v>45191</v>
      </c>
      <c r="U731" s="176">
        <v>45201</v>
      </c>
      <c r="V731" s="177">
        <v>45227</v>
      </c>
      <c r="W731" s="105" t="s">
        <v>67</v>
      </c>
      <c r="X731" s="178" t="s">
        <v>67</v>
      </c>
      <c r="Y731" s="170" t="s">
        <v>69</v>
      </c>
      <c r="Z731" s="1115" t="s">
        <v>1427</v>
      </c>
      <c r="AA731" s="1412"/>
      <c r="AB731" s="33" t="s">
        <v>6379</v>
      </c>
      <c r="AC731" s="8">
        <v>45166</v>
      </c>
      <c r="AD731" s="4">
        <v>80000</v>
      </c>
      <c r="AE731" s="4"/>
      <c r="AF731" s="32"/>
      <c r="AG731" s="1773" t="s">
        <v>67</v>
      </c>
      <c r="AH731" s="1774" t="s">
        <v>67</v>
      </c>
      <c r="AI731" s="1774" t="s">
        <v>67</v>
      </c>
      <c r="AJ731" s="1775" t="s">
        <v>67</v>
      </c>
      <c r="AK731" s="1776" t="s">
        <v>67</v>
      </c>
      <c r="AL731" s="1777" t="s">
        <v>67</v>
      </c>
      <c r="AM731" s="1680" t="s">
        <v>67</v>
      </c>
      <c r="AN731" s="1704"/>
      <c r="AO731" s="1680" t="s">
        <v>67</v>
      </c>
      <c r="AP731" s="1704"/>
      <c r="AQ731" s="1680" t="s">
        <v>67</v>
      </c>
      <c r="AR731" s="1704"/>
      <c r="AS731" s="1778"/>
      <c r="AT731" s="35">
        <v>46948.55</v>
      </c>
      <c r="AU731" s="905">
        <v>21116</v>
      </c>
      <c r="AV731" s="901"/>
      <c r="AW731" s="231"/>
      <c r="AX731" s="11"/>
      <c r="AY731" s="1769">
        <v>0</v>
      </c>
      <c r="AZ731" s="1770"/>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3947</v>
      </c>
      <c r="CF731" s="866"/>
    </row>
    <row r="732" spans="1:84" ht="95.25" hidden="1" customHeight="1">
      <c r="A732" s="1467"/>
      <c r="B732" s="814"/>
      <c r="C732" s="122"/>
      <c r="D732" s="22"/>
      <c r="E732" s="921"/>
      <c r="F732" s="921"/>
      <c r="G732" s="925">
        <v>45331</v>
      </c>
      <c r="H732" s="1793" t="s">
        <v>6333</v>
      </c>
      <c r="I732" s="331">
        <v>45302</v>
      </c>
      <c r="J732" s="331"/>
      <c r="K732" s="169">
        <v>2023</v>
      </c>
      <c r="L732" s="1446">
        <v>234005</v>
      </c>
      <c r="M732" s="1446"/>
      <c r="N732" s="1759" t="s">
        <v>5897</v>
      </c>
      <c r="O732" s="178" t="s">
        <v>5376</v>
      </c>
      <c r="P732" s="172" t="s">
        <v>4035</v>
      </c>
      <c r="Q732" s="173" t="s">
        <v>5837</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77" t="s">
        <v>67</v>
      </c>
      <c r="AM732" s="1680" t="s">
        <v>67</v>
      </c>
      <c r="AN732" s="1704"/>
      <c r="AO732" s="1680" t="s">
        <v>67</v>
      </c>
      <c r="AP732" s="1704"/>
      <c r="AQ732" s="1680" t="s">
        <v>67</v>
      </c>
      <c r="AR732" s="1704"/>
      <c r="AS732" s="1778"/>
      <c r="AT732" s="1048">
        <v>0</v>
      </c>
      <c r="AU732" s="910">
        <v>94407.21</v>
      </c>
      <c r="AV732" s="901"/>
      <c r="AW732" s="231"/>
      <c r="AX732" s="11"/>
      <c r="AY732" s="1769"/>
      <c r="AZ732" s="1770"/>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3947</v>
      </c>
      <c r="CF732" s="866"/>
    </row>
    <row r="733" spans="1:84" ht="80.25" hidden="1" customHeight="1">
      <c r="A733" s="1467"/>
      <c r="B733" s="814"/>
      <c r="C733" s="122"/>
      <c r="D733" s="22"/>
      <c r="E733" s="921"/>
      <c r="F733" s="921"/>
      <c r="G733" s="925"/>
      <c r="H733" s="1793" t="s">
        <v>6333</v>
      </c>
      <c r="I733" s="331"/>
      <c r="J733" s="331"/>
      <c r="K733" s="169">
        <v>2023</v>
      </c>
      <c r="L733" s="1446">
        <v>234006</v>
      </c>
      <c r="M733" s="1446"/>
      <c r="N733" s="170" t="s">
        <v>165</v>
      </c>
      <c r="O733" s="178" t="s">
        <v>5377</v>
      </c>
      <c r="P733" s="172" t="s">
        <v>4035</v>
      </c>
      <c r="Q733" s="173" t="s">
        <v>5888</v>
      </c>
      <c r="R733" s="173" t="s">
        <v>2541</v>
      </c>
      <c r="S733" s="586">
        <v>280000</v>
      </c>
      <c r="T733" s="175">
        <v>45257</v>
      </c>
      <c r="U733" s="176">
        <v>45264</v>
      </c>
      <c r="V733" s="177">
        <v>45288</v>
      </c>
      <c r="W733" s="105" t="s">
        <v>67</v>
      </c>
      <c r="X733" s="178" t="s">
        <v>67</v>
      </c>
      <c r="Y733" s="170" t="s">
        <v>69</v>
      </c>
      <c r="Z733" s="1115" t="s">
        <v>1427</v>
      </c>
      <c r="AA733" s="1412"/>
      <c r="AB733" s="33" t="s">
        <v>6380</v>
      </c>
      <c r="AC733" s="8">
        <v>45254</v>
      </c>
      <c r="AD733" s="4">
        <v>280000</v>
      </c>
      <c r="AE733" s="4"/>
      <c r="AF733" s="32"/>
      <c r="AG733" s="1773" t="s">
        <v>67</v>
      </c>
      <c r="AH733" s="1774" t="s">
        <v>67</v>
      </c>
      <c r="AI733" s="1774" t="s">
        <v>67</v>
      </c>
      <c r="AJ733" s="1775" t="s">
        <v>67</v>
      </c>
      <c r="AK733" s="1776" t="s">
        <v>67</v>
      </c>
      <c r="AL733" s="1777" t="s">
        <v>67</v>
      </c>
      <c r="AM733" s="1680" t="s">
        <v>67</v>
      </c>
      <c r="AN733" s="1704"/>
      <c r="AO733" s="1680" t="s">
        <v>67</v>
      </c>
      <c r="AP733" s="1704"/>
      <c r="AQ733" s="1680" t="s">
        <v>67</v>
      </c>
      <c r="AR733" s="1704"/>
      <c r="AS733" s="1778"/>
      <c r="AT733" s="1048">
        <v>68368.600000000006</v>
      </c>
      <c r="AU733" s="910">
        <v>212017.28</v>
      </c>
      <c r="AV733" s="901"/>
      <c r="AW733" s="231"/>
      <c r="AX733" s="11"/>
      <c r="AY733" s="1769"/>
      <c r="AZ733" s="1770"/>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3947</v>
      </c>
      <c r="CF733" s="866"/>
    </row>
    <row r="734" spans="1:84" ht="24.95" hidden="1" customHeight="1">
      <c r="A734" s="1467"/>
      <c r="B734" s="22"/>
      <c r="C734" s="122"/>
      <c r="D734" s="22"/>
      <c r="E734" s="921"/>
      <c r="F734" s="921"/>
      <c r="G734" s="925"/>
      <c r="H734" s="1793" t="s">
        <v>1294</v>
      </c>
      <c r="I734" s="331"/>
      <c r="J734" s="331"/>
      <c r="K734" s="169">
        <v>2023</v>
      </c>
      <c r="L734" s="1446">
        <v>234007</v>
      </c>
      <c r="M734" s="1446"/>
      <c r="N734" s="170"/>
      <c r="O734" s="178" t="s">
        <v>5378</v>
      </c>
      <c r="P734" s="789" t="s">
        <v>250</v>
      </c>
      <c r="Q734" s="1215" t="s">
        <v>67</v>
      </c>
      <c r="R734" s="173" t="s">
        <v>67</v>
      </c>
      <c r="S734" s="1717"/>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3947</v>
      </c>
      <c r="CF734" s="866"/>
    </row>
    <row r="735" spans="1:84" ht="24.95" hidden="1" customHeight="1">
      <c r="A735" s="1467"/>
      <c r="B735" s="22"/>
      <c r="C735" s="122"/>
      <c r="D735" s="22"/>
      <c r="E735" s="921"/>
      <c r="F735" s="921"/>
      <c r="G735" s="925"/>
      <c r="H735" s="1793" t="s">
        <v>1294</v>
      </c>
      <c r="I735" s="331"/>
      <c r="J735" s="331"/>
      <c r="K735" s="169">
        <v>2023</v>
      </c>
      <c r="L735" s="1446">
        <v>234008</v>
      </c>
      <c r="M735" s="1446"/>
      <c r="N735" s="170"/>
      <c r="O735" s="178" t="s">
        <v>5379</v>
      </c>
      <c r="P735" s="789" t="s">
        <v>250</v>
      </c>
      <c r="Q735" s="1215" t="s">
        <v>67</v>
      </c>
      <c r="R735" s="173" t="s">
        <v>67</v>
      </c>
      <c r="S735" s="1717"/>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3947</v>
      </c>
      <c r="CF735" s="866"/>
    </row>
    <row r="736" spans="1:84" ht="24.95" hidden="1" customHeight="1">
      <c r="A736" s="1467"/>
      <c r="B736" s="22"/>
      <c r="C736" s="122"/>
      <c r="D736" s="22"/>
      <c r="E736" s="921"/>
      <c r="F736" s="921"/>
      <c r="G736" s="925"/>
      <c r="H736" s="1793" t="s">
        <v>1294</v>
      </c>
      <c r="I736" s="331"/>
      <c r="J736" s="331"/>
      <c r="K736" s="169">
        <v>2023</v>
      </c>
      <c r="L736" s="1446">
        <v>234009</v>
      </c>
      <c r="M736" s="1446"/>
      <c r="N736" s="170"/>
      <c r="O736" s="178" t="s">
        <v>5380</v>
      </c>
      <c r="P736" s="789" t="s">
        <v>250</v>
      </c>
      <c r="Q736" s="1215" t="s">
        <v>67</v>
      </c>
      <c r="R736" s="173" t="s">
        <v>67</v>
      </c>
      <c r="S736" s="1717"/>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3947</v>
      </c>
      <c r="CF736" s="866"/>
    </row>
    <row r="737" spans="1:84" ht="24.95" hidden="1" customHeight="1">
      <c r="A737" s="1467"/>
      <c r="B737" s="22"/>
      <c r="C737" s="122"/>
      <c r="D737" s="22"/>
      <c r="E737" s="921"/>
      <c r="F737" s="921"/>
      <c r="G737" s="925"/>
      <c r="H737" s="1793" t="s">
        <v>1294</v>
      </c>
      <c r="I737" s="331"/>
      <c r="J737" s="331"/>
      <c r="K737" s="169">
        <v>2023</v>
      </c>
      <c r="L737" s="1446">
        <v>234010</v>
      </c>
      <c r="M737" s="1446"/>
      <c r="N737" s="170"/>
      <c r="O737" s="178" t="s">
        <v>5381</v>
      </c>
      <c r="P737" s="789" t="s">
        <v>250</v>
      </c>
      <c r="Q737" s="1215" t="s">
        <v>67</v>
      </c>
      <c r="R737" s="173" t="s">
        <v>67</v>
      </c>
      <c r="S737" s="1717"/>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3947</v>
      </c>
      <c r="CF737" s="866"/>
    </row>
    <row r="738" spans="1:84" ht="133.5" hidden="1" customHeight="1">
      <c r="A738" s="1467"/>
      <c r="B738" s="814"/>
      <c r="C738" s="122"/>
      <c r="D738" s="22"/>
      <c r="E738" s="921">
        <v>45170</v>
      </c>
      <c r="F738" s="921"/>
      <c r="G738" s="925">
        <v>45593</v>
      </c>
      <c r="H738" s="1793" t="s">
        <v>6333</v>
      </c>
      <c r="I738" s="331">
        <v>45138</v>
      </c>
      <c r="J738" s="331"/>
      <c r="K738" s="169">
        <v>2023</v>
      </c>
      <c r="L738" s="1446">
        <v>235001</v>
      </c>
      <c r="M738" s="1446"/>
      <c r="N738" s="170" t="s">
        <v>76</v>
      </c>
      <c r="O738" s="178" t="s">
        <v>5382</v>
      </c>
      <c r="P738" s="172" t="s">
        <v>78</v>
      </c>
      <c r="Q738" s="452" t="s">
        <v>5490</v>
      </c>
      <c r="R738" s="173" t="s">
        <v>1975</v>
      </c>
      <c r="S738" s="586">
        <v>1211066.4099999999</v>
      </c>
      <c r="T738" s="175">
        <v>44974</v>
      </c>
      <c r="U738" s="176">
        <v>44977</v>
      </c>
      <c r="V738" s="177">
        <v>45021</v>
      </c>
      <c r="W738" s="1000">
        <v>44971</v>
      </c>
      <c r="X738" s="1066" t="s">
        <v>5400</v>
      </c>
      <c r="Y738" s="170" t="s">
        <v>69</v>
      </c>
      <c r="Z738" s="1698">
        <v>44967</v>
      </c>
      <c r="AA738" s="369" t="s">
        <v>5811</v>
      </c>
      <c r="AB738" s="242" t="s">
        <v>5396</v>
      </c>
      <c r="AC738" s="8">
        <v>44966</v>
      </c>
      <c r="AD738" s="4">
        <v>3021426.25</v>
      </c>
      <c r="AE738" s="4"/>
      <c r="AF738" s="32"/>
      <c r="AG738" s="34" t="s">
        <v>67</v>
      </c>
      <c r="AH738" s="112" t="s">
        <v>67</v>
      </c>
      <c r="AI738" s="112" t="s">
        <v>67</v>
      </c>
      <c r="AJ738" s="7" t="s">
        <v>67</v>
      </c>
      <c r="AK738" s="109" t="s">
        <v>67</v>
      </c>
      <c r="AL738" s="33" t="s">
        <v>3923</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5382</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3947</v>
      </c>
      <c r="CF738" s="866"/>
    </row>
    <row r="739" spans="1:84" s="104" customFormat="1" ht="126.75" hidden="1" customHeight="1">
      <c r="B739" s="814"/>
      <c r="C739" s="122"/>
      <c r="D739" s="22" t="s">
        <v>523</v>
      </c>
      <c r="E739" s="921">
        <v>45170</v>
      </c>
      <c r="F739" s="921"/>
      <c r="G739" s="925">
        <v>45593</v>
      </c>
      <c r="H739" s="1793" t="s">
        <v>6333</v>
      </c>
      <c r="I739" s="331">
        <v>45138</v>
      </c>
      <c r="J739" s="331"/>
      <c r="K739" s="169">
        <v>2023</v>
      </c>
      <c r="L739" s="1446">
        <v>235002</v>
      </c>
      <c r="M739" s="1446"/>
      <c r="N739" s="170" t="s">
        <v>76</v>
      </c>
      <c r="O739" s="178" t="s">
        <v>5383</v>
      </c>
      <c r="P739" s="172" t="s">
        <v>78</v>
      </c>
      <c r="Q739" s="452" t="s">
        <v>5484</v>
      </c>
      <c r="R739" s="173" t="s">
        <v>1975</v>
      </c>
      <c r="S739" s="586">
        <v>1810170.95</v>
      </c>
      <c r="T739" s="175">
        <v>45022</v>
      </c>
      <c r="U739" s="176">
        <v>45024</v>
      </c>
      <c r="V739" s="177">
        <v>45061</v>
      </c>
      <c r="W739" s="1000">
        <v>45021</v>
      </c>
      <c r="X739" s="1066" t="s">
        <v>738</v>
      </c>
      <c r="Y739" s="170" t="s">
        <v>69</v>
      </c>
      <c r="Z739" s="1698">
        <v>45015</v>
      </c>
      <c r="AA739" s="369" t="s">
        <v>5811</v>
      </c>
      <c r="AB739" s="242" t="s">
        <v>5396</v>
      </c>
      <c r="AC739" s="8">
        <v>44966</v>
      </c>
      <c r="AD739" s="4">
        <v>3021426.25</v>
      </c>
      <c r="AE739" s="4"/>
      <c r="AF739" s="32"/>
      <c r="AG739" s="34" t="s">
        <v>67</v>
      </c>
      <c r="AH739" s="112" t="s">
        <v>67</v>
      </c>
      <c r="AI739" s="112" t="s">
        <v>67</v>
      </c>
      <c r="AJ739" s="7" t="s">
        <v>67</v>
      </c>
      <c r="AK739" s="109" t="s">
        <v>67</v>
      </c>
      <c r="AL739" s="242" t="s">
        <v>3923</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5812</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3947</v>
      </c>
      <c r="CF739" s="866"/>
    </row>
    <row r="740" spans="1:84" ht="129.75" hidden="1" customHeight="1">
      <c r="A740" s="1467"/>
      <c r="B740" s="814"/>
      <c r="C740" s="122">
        <v>45446</v>
      </c>
      <c r="D740" s="22">
        <v>2</v>
      </c>
      <c r="E740" s="921">
        <v>45170</v>
      </c>
      <c r="F740" s="921"/>
      <c r="G740" s="925">
        <v>45593</v>
      </c>
      <c r="H740" s="1793" t="s">
        <v>6333</v>
      </c>
      <c r="I740" s="331">
        <v>45138</v>
      </c>
      <c r="J740" s="331"/>
      <c r="K740" s="169">
        <v>2023</v>
      </c>
      <c r="L740" s="1446">
        <v>235003</v>
      </c>
      <c r="M740" s="1446"/>
      <c r="N740" s="170" t="s">
        <v>165</v>
      </c>
      <c r="O740" s="178" t="s">
        <v>5408</v>
      </c>
      <c r="P740" s="172" t="s">
        <v>3215</v>
      </c>
      <c r="Q740" s="173" t="s">
        <v>5485</v>
      </c>
      <c r="R740" s="173" t="s">
        <v>1975</v>
      </c>
      <c r="S740" s="586">
        <v>4378573.75</v>
      </c>
      <c r="T740" s="582">
        <v>44981</v>
      </c>
      <c r="U740" s="176">
        <v>44987</v>
      </c>
      <c r="V740" s="177">
        <v>45048</v>
      </c>
      <c r="W740" s="105" t="s">
        <v>67</v>
      </c>
      <c r="X740" s="178" t="s">
        <v>3472</v>
      </c>
      <c r="Y740" s="170" t="s">
        <v>69</v>
      </c>
      <c r="Z740" s="1697" t="s">
        <v>67</v>
      </c>
      <c r="AA740" s="1413" t="s">
        <v>5811</v>
      </c>
      <c r="AB740" s="242" t="s">
        <v>5520</v>
      </c>
      <c r="AC740" s="8">
        <v>44966</v>
      </c>
      <c r="AD740" s="4">
        <v>4378573.75</v>
      </c>
      <c r="AE740" s="4"/>
      <c r="AF740" s="32"/>
      <c r="AG740" s="574">
        <v>44967</v>
      </c>
      <c r="AH740" s="575">
        <v>44970</v>
      </c>
      <c r="AI740" s="575">
        <v>44970</v>
      </c>
      <c r="AJ740" s="576">
        <v>44977</v>
      </c>
      <c r="AK740" s="573">
        <v>44967</v>
      </c>
      <c r="AL740" s="33" t="s">
        <v>5813</v>
      </c>
      <c r="AM740" s="1" t="s">
        <v>67</v>
      </c>
      <c r="AN740" s="5"/>
      <c r="AO740" s="1" t="s">
        <v>5814</v>
      </c>
      <c r="AP740" s="5">
        <v>45079</v>
      </c>
      <c r="AQ740" s="1" t="s">
        <v>5815</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5408</v>
      </c>
      <c r="BG740" s="5">
        <v>44987</v>
      </c>
      <c r="BH740" s="5">
        <v>45048</v>
      </c>
      <c r="BI740" s="5">
        <v>45048</v>
      </c>
      <c r="BJ740" s="36">
        <v>4710868.97</v>
      </c>
      <c r="BK740" s="1115">
        <v>45051</v>
      </c>
      <c r="BL740" s="1908"/>
      <c r="BM740" s="1049">
        <v>44985</v>
      </c>
      <c r="BN740" s="326">
        <v>44986</v>
      </c>
      <c r="BO740" s="326">
        <v>44986</v>
      </c>
      <c r="BP740" s="1112" t="s">
        <v>67</v>
      </c>
      <c r="BQ740" s="924" t="s">
        <v>5816</v>
      </c>
      <c r="BR740" s="924" t="s">
        <v>5816</v>
      </c>
      <c r="BS740" s="924" t="s">
        <v>5816</v>
      </c>
      <c r="BT740" s="1112">
        <v>45049</v>
      </c>
      <c r="BU740" s="1112">
        <v>45049</v>
      </c>
      <c r="BV740" s="924"/>
      <c r="BW740" s="337"/>
      <c r="BX740" s="13"/>
      <c r="BY740" s="22" t="s">
        <v>550</v>
      </c>
      <c r="BZ740" s="22"/>
      <c r="CA740" s="22" t="s">
        <v>1294</v>
      </c>
      <c r="CB740" s="22" t="s">
        <v>1294</v>
      </c>
      <c r="CC740" s="22" t="s">
        <v>1294</v>
      </c>
      <c r="CD740" s="22"/>
      <c r="CE740" s="1246" t="s">
        <v>3947</v>
      </c>
      <c r="CF740" s="866" t="s">
        <v>1142</v>
      </c>
    </row>
    <row r="741" spans="1:84" ht="111" hidden="1" customHeight="1">
      <c r="A741" s="1467"/>
      <c r="B741" s="814"/>
      <c r="C741" s="122"/>
      <c r="D741" s="22"/>
      <c r="E741" s="921">
        <v>45170</v>
      </c>
      <c r="F741" s="921"/>
      <c r="G741" s="925">
        <v>45593</v>
      </c>
      <c r="H741" s="1793" t="s">
        <v>6333</v>
      </c>
      <c r="I741" s="331">
        <v>45087</v>
      </c>
      <c r="J741" s="331"/>
      <c r="K741" s="169">
        <v>2023</v>
      </c>
      <c r="L741" s="1446">
        <v>235004</v>
      </c>
      <c r="M741" s="1446"/>
      <c r="N741" s="170" t="s">
        <v>76</v>
      </c>
      <c r="O741" s="178" t="s">
        <v>5384</v>
      </c>
      <c r="P741" s="172" t="s">
        <v>78</v>
      </c>
      <c r="Q741" s="1719" t="s">
        <v>5404</v>
      </c>
      <c r="R741" s="173" t="s">
        <v>2541</v>
      </c>
      <c r="S741" s="1196">
        <v>1196296.56</v>
      </c>
      <c r="T741" s="545">
        <v>45036</v>
      </c>
      <c r="U741" s="998">
        <v>45048</v>
      </c>
      <c r="V741" s="999">
        <v>45079</v>
      </c>
      <c r="W741" s="1000">
        <v>45034</v>
      </c>
      <c r="X741" s="1066" t="s">
        <v>4869</v>
      </c>
      <c r="Y741" s="170" t="s">
        <v>448</v>
      </c>
      <c r="Z741" s="1697">
        <v>45048</v>
      </c>
      <c r="AA741" s="1413" t="s">
        <v>5811</v>
      </c>
      <c r="AB741" s="242" t="s">
        <v>5817</v>
      </c>
      <c r="AC741" s="8">
        <v>44966</v>
      </c>
      <c r="AD741" s="4">
        <v>3845696.93</v>
      </c>
      <c r="AE741" s="4"/>
      <c r="AF741" s="32"/>
      <c r="AG741" s="34" t="s">
        <v>67</v>
      </c>
      <c r="AH741" s="112" t="s">
        <v>67</v>
      </c>
      <c r="AI741" s="112" t="s">
        <v>67</v>
      </c>
      <c r="AJ741" s="7" t="s">
        <v>67</v>
      </c>
      <c r="AK741" s="109" t="s">
        <v>67</v>
      </c>
      <c r="AL741" s="242" t="s">
        <v>3769</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52" t="s">
        <v>5818</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3947</v>
      </c>
      <c r="CF741" s="866" t="s">
        <v>1142</v>
      </c>
    </row>
    <row r="742" spans="1:84" ht="124.5" hidden="1" customHeight="1">
      <c r="A742" s="1467"/>
      <c r="B742" s="814"/>
      <c r="C742" s="122"/>
      <c r="D742" s="22"/>
      <c r="E742" s="921">
        <v>45170</v>
      </c>
      <c r="F742" s="921"/>
      <c r="G742" s="925">
        <v>45593</v>
      </c>
      <c r="H742" s="1793" t="s">
        <v>6333</v>
      </c>
      <c r="I742" s="331">
        <v>45087</v>
      </c>
      <c r="J742" s="331"/>
      <c r="K742" s="169">
        <v>2023</v>
      </c>
      <c r="L742" s="1446">
        <v>235005</v>
      </c>
      <c r="M742" s="1446"/>
      <c r="N742" s="170" t="s">
        <v>76</v>
      </c>
      <c r="O742" s="178" t="s">
        <v>5385</v>
      </c>
      <c r="P742" s="172" t="s">
        <v>78</v>
      </c>
      <c r="Q742" s="173" t="s">
        <v>5397</v>
      </c>
      <c r="R742" s="173" t="s">
        <v>2541</v>
      </c>
      <c r="S742" s="586">
        <v>544139.78</v>
      </c>
      <c r="T742" s="582">
        <v>45044</v>
      </c>
      <c r="U742" s="176">
        <v>45054</v>
      </c>
      <c r="V742" s="177">
        <v>45086</v>
      </c>
      <c r="W742" s="105">
        <v>45035</v>
      </c>
      <c r="X742" s="1066" t="s">
        <v>5398</v>
      </c>
      <c r="Y742" s="170" t="s">
        <v>448</v>
      </c>
      <c r="Z742" s="1697">
        <v>45048</v>
      </c>
      <c r="AA742" s="1413" t="s">
        <v>5811</v>
      </c>
      <c r="AB742" s="242" t="s">
        <v>5399</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5385</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3947</v>
      </c>
      <c r="CF742" s="866"/>
    </row>
    <row r="743" spans="1:84" ht="144.75" hidden="1" customHeight="1">
      <c r="A743" s="1467"/>
      <c r="B743" s="814"/>
      <c r="C743" s="122">
        <v>45446</v>
      </c>
      <c r="D743" s="22">
        <v>7</v>
      </c>
      <c r="E743" s="921">
        <v>45170</v>
      </c>
      <c r="F743" s="921"/>
      <c r="G743" s="925">
        <v>45593</v>
      </c>
      <c r="H743" s="1793" t="s">
        <v>6333</v>
      </c>
      <c r="I743" s="331">
        <v>45138</v>
      </c>
      <c r="J743" s="331"/>
      <c r="K743" s="169">
        <v>2023</v>
      </c>
      <c r="L743" s="1446">
        <v>235006</v>
      </c>
      <c r="M743" s="1446"/>
      <c r="N743" s="170" t="s">
        <v>165</v>
      </c>
      <c r="O743" s="178" t="s">
        <v>5386</v>
      </c>
      <c r="P743" s="172" t="s">
        <v>78</v>
      </c>
      <c r="Q743" s="173" t="s">
        <v>5405</v>
      </c>
      <c r="R743" s="173" t="s">
        <v>1975</v>
      </c>
      <c r="S743" s="586">
        <v>584259.75</v>
      </c>
      <c r="T743" s="582">
        <v>45042</v>
      </c>
      <c r="U743" s="176">
        <v>45048</v>
      </c>
      <c r="V743" s="177">
        <v>45168</v>
      </c>
      <c r="W743" s="105">
        <v>45040</v>
      </c>
      <c r="X743" s="1066" t="s">
        <v>4450</v>
      </c>
      <c r="Y743" s="170" t="s">
        <v>212</v>
      </c>
      <c r="Z743" s="1697" t="s">
        <v>67</v>
      </c>
      <c r="AA743" s="1413" t="s">
        <v>67</v>
      </c>
      <c r="AB743" s="242" t="s">
        <v>5819</v>
      </c>
      <c r="AC743" s="8">
        <v>44966</v>
      </c>
      <c r="AD743" s="4">
        <v>1000000</v>
      </c>
      <c r="AE743" s="4"/>
      <c r="AF743" s="32"/>
      <c r="AG743" s="34" t="s">
        <v>67</v>
      </c>
      <c r="AH743" s="112" t="s">
        <v>67</v>
      </c>
      <c r="AI743" s="112" t="s">
        <v>67</v>
      </c>
      <c r="AJ743" s="7" t="s">
        <v>67</v>
      </c>
      <c r="AK743" s="109" t="s">
        <v>67</v>
      </c>
      <c r="AL743" s="33" t="s">
        <v>5839</v>
      </c>
      <c r="AM743" s="1" t="s">
        <v>67</v>
      </c>
      <c r="AN743" s="5"/>
      <c r="AO743" s="131" t="s">
        <v>73</v>
      </c>
      <c r="AP743" s="5"/>
      <c r="AQ743" s="2" t="s">
        <v>5840</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5386</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57" t="s">
        <v>5820</v>
      </c>
      <c r="BW743" s="923"/>
      <c r="BX743" s="13"/>
      <c r="BY743" s="22"/>
      <c r="BZ743" s="22"/>
      <c r="CA743" s="22" t="s">
        <v>1294</v>
      </c>
      <c r="CB743" s="22" t="s">
        <v>1294</v>
      </c>
      <c r="CC743" s="22" t="s">
        <v>1294</v>
      </c>
      <c r="CD743" s="22"/>
      <c r="CE743" s="1246" t="s">
        <v>3947</v>
      </c>
      <c r="CF743" s="866"/>
    </row>
    <row r="744" spans="1:84" ht="99.75" hidden="1" customHeight="1">
      <c r="A744" s="1467"/>
      <c r="B744" s="814"/>
      <c r="C744" s="122"/>
      <c r="D744" s="22"/>
      <c r="E744" s="921">
        <v>45170</v>
      </c>
      <c r="F744" s="921"/>
      <c r="G744" s="925">
        <v>45593</v>
      </c>
      <c r="H744" s="1793" t="s">
        <v>6333</v>
      </c>
      <c r="I744" s="331">
        <v>45302</v>
      </c>
      <c r="J744" s="331"/>
      <c r="K744" s="169">
        <v>2023</v>
      </c>
      <c r="L744" s="1446">
        <v>235007</v>
      </c>
      <c r="M744" s="1446"/>
      <c r="N744" s="170" t="s">
        <v>165</v>
      </c>
      <c r="O744" s="178" t="s">
        <v>5387</v>
      </c>
      <c r="P744" s="172" t="s">
        <v>78</v>
      </c>
      <c r="Q744" s="173" t="s">
        <v>5486</v>
      </c>
      <c r="R744" s="173" t="s">
        <v>1975</v>
      </c>
      <c r="S744" s="586">
        <v>387303.55</v>
      </c>
      <c r="T744" s="582">
        <v>45056</v>
      </c>
      <c r="U744" s="176">
        <v>45061</v>
      </c>
      <c r="V744" s="177">
        <v>45090</v>
      </c>
      <c r="W744" s="105">
        <v>45055</v>
      </c>
      <c r="X744" s="1066" t="s">
        <v>5400</v>
      </c>
      <c r="Y744" s="170" t="s">
        <v>69</v>
      </c>
      <c r="Z744" s="1698" t="s">
        <v>67</v>
      </c>
      <c r="AA744" s="369" t="s">
        <v>5821</v>
      </c>
      <c r="AB744" s="33" t="s">
        <v>5842</v>
      </c>
      <c r="AC744" s="8">
        <v>44995</v>
      </c>
      <c r="AD744" s="4">
        <v>387303.55</v>
      </c>
      <c r="AE744" s="4"/>
      <c r="AF744" s="32"/>
      <c r="AG744" s="34" t="s">
        <v>67</v>
      </c>
      <c r="AH744" s="112" t="s">
        <v>67</v>
      </c>
      <c r="AI744" s="112" t="s">
        <v>67</v>
      </c>
      <c r="AJ744" s="7" t="s">
        <v>67</v>
      </c>
      <c r="AK744" s="109" t="s">
        <v>67</v>
      </c>
      <c r="AL744" s="33" t="s">
        <v>5843</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5844</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3947</v>
      </c>
      <c r="CF744" s="866" t="s">
        <v>1142</v>
      </c>
    </row>
    <row r="745" spans="1:84" ht="69" hidden="1" customHeight="1">
      <c r="A745" s="1467"/>
      <c r="B745" s="814"/>
      <c r="C745" s="122"/>
      <c r="D745" s="22"/>
      <c r="E745" s="921">
        <v>45170</v>
      </c>
      <c r="F745" s="921"/>
      <c r="G745" s="925">
        <v>45593</v>
      </c>
      <c r="H745" s="1793" t="s">
        <v>6333</v>
      </c>
      <c r="I745" s="331">
        <v>45138</v>
      </c>
      <c r="J745" s="331"/>
      <c r="K745" s="169">
        <v>2023</v>
      </c>
      <c r="L745" s="1446">
        <v>235008</v>
      </c>
      <c r="M745" s="1446"/>
      <c r="N745" s="170" t="s">
        <v>165</v>
      </c>
      <c r="O745" s="178" t="s">
        <v>5388</v>
      </c>
      <c r="P745" s="172" t="s">
        <v>78</v>
      </c>
      <c r="Q745" s="173" t="s">
        <v>5409</v>
      </c>
      <c r="R745" s="173" t="s">
        <v>1975</v>
      </c>
      <c r="S745" s="586">
        <v>374761.47</v>
      </c>
      <c r="T745" s="582">
        <v>45056</v>
      </c>
      <c r="U745" s="176">
        <v>45061</v>
      </c>
      <c r="V745" s="177">
        <v>45086</v>
      </c>
      <c r="W745" s="105">
        <v>45055</v>
      </c>
      <c r="X745" s="1066" t="s">
        <v>4450</v>
      </c>
      <c r="Y745" s="170" t="s">
        <v>448</v>
      </c>
      <c r="Z745" s="1698" t="s">
        <v>67</v>
      </c>
      <c r="AA745" s="369" t="s">
        <v>67</v>
      </c>
      <c r="AB745" s="33" t="s">
        <v>5845</v>
      </c>
      <c r="AC745" s="8">
        <v>44995</v>
      </c>
      <c r="AD745" s="4">
        <v>587456.75</v>
      </c>
      <c r="AE745" s="4"/>
      <c r="AF745" s="32"/>
      <c r="AG745" s="34" t="s">
        <v>67</v>
      </c>
      <c r="AH745" s="112" t="s">
        <v>67</v>
      </c>
      <c r="AI745" s="112" t="s">
        <v>67</v>
      </c>
      <c r="AJ745" s="7" t="s">
        <v>67</v>
      </c>
      <c r="AK745" s="109" t="s">
        <v>67</v>
      </c>
      <c r="AL745" s="33" t="s">
        <v>5839</v>
      </c>
      <c r="AM745" s="1" t="s">
        <v>67</v>
      </c>
      <c r="AN745" s="5"/>
      <c r="AO745" s="2" t="s">
        <v>5846</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5388</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3947</v>
      </c>
      <c r="CF745" s="866"/>
    </row>
    <row r="746" spans="1:84" ht="93.75" hidden="1" customHeight="1">
      <c r="A746" s="1467"/>
      <c r="B746" s="814"/>
      <c r="C746" s="122">
        <v>45446</v>
      </c>
      <c r="D746" s="22">
        <v>5</v>
      </c>
      <c r="E746" s="921">
        <v>45170</v>
      </c>
      <c r="F746" s="921"/>
      <c r="G746" s="925">
        <v>45593</v>
      </c>
      <c r="H746" s="1793" t="s">
        <v>6333</v>
      </c>
      <c r="I746" s="331">
        <v>44937</v>
      </c>
      <c r="J746" s="331"/>
      <c r="K746" s="169">
        <v>2023</v>
      </c>
      <c r="L746" s="1446">
        <v>235009</v>
      </c>
      <c r="M746" s="1446"/>
      <c r="N746" s="170" t="s">
        <v>165</v>
      </c>
      <c r="O746" s="178" t="s">
        <v>5389</v>
      </c>
      <c r="P746" s="172" t="s">
        <v>78</v>
      </c>
      <c r="Q746" s="173" t="s">
        <v>5487</v>
      </c>
      <c r="R746" s="1899" t="s">
        <v>1975</v>
      </c>
      <c r="S746" s="586">
        <v>835320.31999999995</v>
      </c>
      <c r="T746" s="582">
        <v>45056</v>
      </c>
      <c r="U746" s="176">
        <v>45061</v>
      </c>
      <c r="V746" s="177">
        <v>45090</v>
      </c>
      <c r="W746" s="105">
        <v>45055</v>
      </c>
      <c r="X746" s="1066" t="s">
        <v>5400</v>
      </c>
      <c r="Y746" s="170" t="s">
        <v>69</v>
      </c>
      <c r="Z746" s="1698" t="s">
        <v>67</v>
      </c>
      <c r="AA746" s="369" t="s">
        <v>5811</v>
      </c>
      <c r="AB746" s="33" t="s">
        <v>5848</v>
      </c>
      <c r="AC746" s="8">
        <v>44995</v>
      </c>
      <c r="AD746" s="4">
        <v>835320.31999999995</v>
      </c>
      <c r="AE746" s="4"/>
      <c r="AF746" s="32"/>
      <c r="AG746" s="34" t="s">
        <v>67</v>
      </c>
      <c r="AH746" s="112" t="s">
        <v>67</v>
      </c>
      <c r="AI746" s="112" t="s">
        <v>67</v>
      </c>
      <c r="AJ746" s="7" t="s">
        <v>67</v>
      </c>
      <c r="AK746" s="109" t="s">
        <v>67</v>
      </c>
      <c r="AL746" s="242" t="s">
        <v>3923</v>
      </c>
      <c r="AM746" s="1900" t="s">
        <v>67</v>
      </c>
      <c r="AN746" s="1764"/>
      <c r="AO746" s="131" t="s">
        <v>73</v>
      </c>
      <c r="AP746" s="1764"/>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6485</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3947</v>
      </c>
      <c r="CF746" s="866"/>
    </row>
    <row r="747" spans="1:84" ht="76.5" hidden="1" customHeight="1">
      <c r="A747" s="1467"/>
      <c r="B747" s="814"/>
      <c r="C747" s="122"/>
      <c r="D747" s="22"/>
      <c r="E747" s="921">
        <v>45170</v>
      </c>
      <c r="F747" s="921"/>
      <c r="G747" s="925">
        <v>45593</v>
      </c>
      <c r="H747" s="1793" t="s">
        <v>6333</v>
      </c>
      <c r="I747" s="331">
        <v>45138</v>
      </c>
      <c r="J747" s="331"/>
      <c r="K747" s="169">
        <v>2023</v>
      </c>
      <c r="L747" s="1446">
        <v>235010</v>
      </c>
      <c r="M747" s="1446"/>
      <c r="N747" s="170" t="s">
        <v>165</v>
      </c>
      <c r="O747" s="178" t="s">
        <v>5391</v>
      </c>
      <c r="P747" s="172" t="s">
        <v>78</v>
      </c>
      <c r="Q747" s="173" t="s">
        <v>5410</v>
      </c>
      <c r="R747" s="173" t="s">
        <v>4826</v>
      </c>
      <c r="S747" s="586">
        <v>168796.66</v>
      </c>
      <c r="T747" s="582">
        <v>45059</v>
      </c>
      <c r="U747" s="176">
        <v>45075</v>
      </c>
      <c r="V747" s="177">
        <v>45094</v>
      </c>
      <c r="W747" s="105">
        <v>45061</v>
      </c>
      <c r="X747" s="178" t="s">
        <v>4450</v>
      </c>
      <c r="Y747" s="170" t="s">
        <v>448</v>
      </c>
      <c r="Z747" s="1698" t="s">
        <v>67</v>
      </c>
      <c r="AA747" s="369" t="s">
        <v>67</v>
      </c>
      <c r="AB747" s="33" t="s">
        <v>5680</v>
      </c>
      <c r="AC747" s="8">
        <v>44995</v>
      </c>
      <c r="AD747" s="4">
        <v>245535.85</v>
      </c>
      <c r="AE747" s="4"/>
      <c r="AF747" s="32"/>
      <c r="AG747" s="34" t="s">
        <v>67</v>
      </c>
      <c r="AH747" s="112" t="s">
        <v>67</v>
      </c>
      <c r="AI747" s="112" t="s">
        <v>67</v>
      </c>
      <c r="AJ747" s="7" t="s">
        <v>67</v>
      </c>
      <c r="AK747" s="109" t="s">
        <v>67</v>
      </c>
      <c r="AL747" s="33" t="s">
        <v>875</v>
      </c>
      <c r="AM747" s="1" t="s">
        <v>67</v>
      </c>
      <c r="AN747" s="5"/>
      <c r="AO747" s="2" t="s">
        <v>5849</v>
      </c>
      <c r="AP747" s="5">
        <v>45075</v>
      </c>
      <c r="AQ747" s="1" t="s">
        <v>5850</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5391</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3947</v>
      </c>
      <c r="CF747" s="866"/>
    </row>
    <row r="748" spans="1:84" ht="101.25" hidden="1" customHeight="1">
      <c r="A748" s="1467"/>
      <c r="B748" s="814"/>
      <c r="C748" s="122"/>
      <c r="D748" s="22"/>
      <c r="E748" s="921"/>
      <c r="F748" s="921"/>
      <c r="G748" s="925">
        <v>45593</v>
      </c>
      <c r="H748" s="1793" t="s">
        <v>6333</v>
      </c>
      <c r="I748" s="331">
        <v>45302</v>
      </c>
      <c r="J748" s="331"/>
      <c r="K748" s="169">
        <v>2023</v>
      </c>
      <c r="L748" s="1446">
        <v>235011</v>
      </c>
      <c r="M748" s="1446"/>
      <c r="N748" s="170" t="s">
        <v>165</v>
      </c>
      <c r="O748" s="178" t="s">
        <v>5392</v>
      </c>
      <c r="P748" s="172" t="s">
        <v>78</v>
      </c>
      <c r="Q748" s="173" t="s">
        <v>5488</v>
      </c>
      <c r="R748" s="173" t="s">
        <v>1975</v>
      </c>
      <c r="S748" s="586">
        <v>254339.78</v>
      </c>
      <c r="T748" s="582">
        <v>45141</v>
      </c>
      <c r="U748" s="176">
        <v>45187</v>
      </c>
      <c r="V748" s="177">
        <v>45219</v>
      </c>
      <c r="W748" s="105">
        <v>45071</v>
      </c>
      <c r="X748" s="178" t="s">
        <v>5670</v>
      </c>
      <c r="Y748" s="170" t="s">
        <v>69</v>
      </c>
      <c r="Z748" s="1697" t="s">
        <v>67</v>
      </c>
      <c r="AA748" s="1413" t="s">
        <v>5811</v>
      </c>
      <c r="AB748" s="242" t="s">
        <v>5672</v>
      </c>
      <c r="AC748" s="8">
        <v>44995</v>
      </c>
      <c r="AD748" s="4">
        <v>254339.78</v>
      </c>
      <c r="AE748" s="4"/>
      <c r="AF748" s="32"/>
      <c r="AG748" s="34" t="s">
        <v>67</v>
      </c>
      <c r="AH748" s="112" t="s">
        <v>67</v>
      </c>
      <c r="AI748" s="112" t="s">
        <v>67</v>
      </c>
      <c r="AJ748" s="7" t="s">
        <v>67</v>
      </c>
      <c r="AK748" s="109" t="s">
        <v>67</v>
      </c>
      <c r="AL748" s="33" t="s">
        <v>5673</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5392</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5851</v>
      </c>
      <c r="BW748" s="1761" t="s">
        <v>5852</v>
      </c>
      <c r="BX748" s="13"/>
      <c r="BY748" s="22"/>
      <c r="BZ748" s="22"/>
      <c r="CA748" s="22"/>
      <c r="CB748" s="22"/>
      <c r="CC748" s="22"/>
      <c r="CD748" s="22"/>
      <c r="CE748" s="1246" t="s">
        <v>3947</v>
      </c>
      <c r="CF748" s="866"/>
    </row>
    <row r="749" spans="1:84" ht="94.5" hidden="1" customHeight="1">
      <c r="A749" s="1467"/>
      <c r="B749" s="814"/>
      <c r="C749" s="122"/>
      <c r="D749" s="22"/>
      <c r="E749" s="921"/>
      <c r="F749" s="921"/>
      <c r="G749" s="925">
        <v>45594</v>
      </c>
      <c r="H749" s="1793" t="s">
        <v>6333</v>
      </c>
      <c r="I749" s="331">
        <v>45302</v>
      </c>
      <c r="J749" s="331"/>
      <c r="K749" s="169">
        <v>2023</v>
      </c>
      <c r="L749" s="1446">
        <v>235012</v>
      </c>
      <c r="M749" s="1446"/>
      <c r="N749" s="170" t="s">
        <v>76</v>
      </c>
      <c r="O749" s="178" t="s">
        <v>5393</v>
      </c>
      <c r="P749" s="172" t="s">
        <v>78</v>
      </c>
      <c r="Q749" s="173" t="s">
        <v>5489</v>
      </c>
      <c r="R749" s="173" t="s">
        <v>1975</v>
      </c>
      <c r="S749" s="586">
        <v>553159.56000000006</v>
      </c>
      <c r="T749" s="582">
        <v>45141</v>
      </c>
      <c r="U749" s="176">
        <v>45148</v>
      </c>
      <c r="V749" s="177">
        <v>45170</v>
      </c>
      <c r="W749" s="105">
        <v>45140</v>
      </c>
      <c r="X749" s="178" t="s">
        <v>5670</v>
      </c>
      <c r="Y749" s="170" t="s">
        <v>69</v>
      </c>
      <c r="Z749" s="1697">
        <v>45139</v>
      </c>
      <c r="AA749" s="1413" t="s">
        <v>5811</v>
      </c>
      <c r="AB749" s="33" t="s">
        <v>5674</v>
      </c>
      <c r="AC749" s="8">
        <v>44995</v>
      </c>
      <c r="AD749" s="4">
        <v>553159.56000000006</v>
      </c>
      <c r="AE749" s="4"/>
      <c r="AF749" s="32"/>
      <c r="AG749" s="34" t="s">
        <v>67</v>
      </c>
      <c r="AH749" s="112" t="s">
        <v>67</v>
      </c>
      <c r="AI749" s="112" t="s">
        <v>67</v>
      </c>
      <c r="AJ749" s="7" t="s">
        <v>67</v>
      </c>
      <c r="AK749" s="109" t="s">
        <v>67</v>
      </c>
      <c r="AL749" s="33" t="s">
        <v>3923</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5854</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57" t="s">
        <v>5855</v>
      </c>
      <c r="BW749" s="923"/>
      <c r="BX749" s="13"/>
      <c r="BY749" s="22"/>
      <c r="BZ749" s="22"/>
      <c r="CA749" s="22"/>
      <c r="CB749" s="22"/>
      <c r="CC749" s="22"/>
      <c r="CD749" s="22"/>
      <c r="CE749" s="1246" t="s">
        <v>3947</v>
      </c>
      <c r="CF749" s="866"/>
    </row>
    <row r="750" spans="1:84" ht="91.5" hidden="1" customHeight="1">
      <c r="A750" s="1467"/>
      <c r="B750" s="814"/>
      <c r="C750" s="122"/>
      <c r="D750" s="22"/>
      <c r="E750" s="921">
        <v>45170</v>
      </c>
      <c r="F750" s="921"/>
      <c r="G750" s="925">
        <v>45594</v>
      </c>
      <c r="H750" s="1793" t="s">
        <v>6333</v>
      </c>
      <c r="I750" s="331">
        <v>45203</v>
      </c>
      <c r="J750" s="331"/>
      <c r="K750" s="169">
        <v>2023</v>
      </c>
      <c r="L750" s="1446">
        <v>235013</v>
      </c>
      <c r="M750" s="1446"/>
      <c r="N750" s="170" t="s">
        <v>76</v>
      </c>
      <c r="O750" s="178" t="s">
        <v>5390</v>
      </c>
      <c r="P750" s="172" t="s">
        <v>78</v>
      </c>
      <c r="Q750" s="173" t="s">
        <v>5675</v>
      </c>
      <c r="R750" s="173" t="s">
        <v>2541</v>
      </c>
      <c r="S750" s="586">
        <v>724743.66</v>
      </c>
      <c r="T750" s="582">
        <v>45105</v>
      </c>
      <c r="U750" s="176">
        <v>45110</v>
      </c>
      <c r="V750" s="177">
        <v>45141</v>
      </c>
      <c r="W750" s="105">
        <v>45104</v>
      </c>
      <c r="X750" s="178" t="s">
        <v>5400</v>
      </c>
      <c r="Y750" s="170" t="s">
        <v>69</v>
      </c>
      <c r="Z750" s="1697">
        <v>45103</v>
      </c>
      <c r="AA750" s="1413" t="s">
        <v>5811</v>
      </c>
      <c r="AB750" s="242" t="s">
        <v>5671</v>
      </c>
      <c r="AC750" s="8">
        <v>45103</v>
      </c>
      <c r="AD750" s="4">
        <v>724743.66</v>
      </c>
      <c r="AE750" s="4"/>
      <c r="AF750" s="32"/>
      <c r="AG750" s="34" t="s">
        <v>67</v>
      </c>
      <c r="AH750" s="112" t="s">
        <v>67</v>
      </c>
      <c r="AI750" s="112" t="s">
        <v>67</v>
      </c>
      <c r="AJ750" s="7" t="s">
        <v>67</v>
      </c>
      <c r="AK750" s="109" t="s">
        <v>67</v>
      </c>
      <c r="AL750" s="33" t="s">
        <v>3923</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5676</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3947</v>
      </c>
      <c r="CF750" s="866" t="s">
        <v>1142</v>
      </c>
    </row>
    <row r="751" spans="1:84" ht="91.5" hidden="1" customHeight="1">
      <c r="A751" s="1467"/>
      <c r="B751" s="814"/>
      <c r="C751" s="122"/>
      <c r="D751" s="22"/>
      <c r="E751" s="921">
        <v>45170</v>
      </c>
      <c r="F751" s="921"/>
      <c r="G751" s="925">
        <v>45594</v>
      </c>
      <c r="H751" s="1793" t="s">
        <v>6333</v>
      </c>
      <c r="I751" s="331">
        <v>45203</v>
      </c>
      <c r="J751" s="331"/>
      <c r="K751" s="169">
        <v>2023</v>
      </c>
      <c r="L751" s="1446">
        <v>235014</v>
      </c>
      <c r="M751" s="1446"/>
      <c r="N751" s="170" t="s">
        <v>76</v>
      </c>
      <c r="O751" s="178" t="s">
        <v>5394</v>
      </c>
      <c r="P751" s="172" t="s">
        <v>78</v>
      </c>
      <c r="Q751" s="173" t="s">
        <v>5677</v>
      </c>
      <c r="R751" s="173" t="s">
        <v>2541</v>
      </c>
      <c r="S751" s="586">
        <v>543995.47</v>
      </c>
      <c r="T751" s="582">
        <v>45105</v>
      </c>
      <c r="U751" s="176">
        <v>45110</v>
      </c>
      <c r="V751" s="177">
        <v>45141</v>
      </c>
      <c r="W751" s="105">
        <v>45104</v>
      </c>
      <c r="X751" s="178" t="s">
        <v>5400</v>
      </c>
      <c r="Y751" s="170" t="s">
        <v>69</v>
      </c>
      <c r="Z751" s="1697">
        <v>45134</v>
      </c>
      <c r="AA751" s="1413" t="s">
        <v>5811</v>
      </c>
      <c r="AB751" s="242" t="s">
        <v>5678</v>
      </c>
      <c r="AC751" s="8">
        <v>45103</v>
      </c>
      <c r="AD751" s="4">
        <v>543995.47</v>
      </c>
      <c r="AE751" s="4"/>
      <c r="AF751" s="32"/>
      <c r="AG751" s="34" t="s">
        <v>67</v>
      </c>
      <c r="AH751" s="112" t="s">
        <v>67</v>
      </c>
      <c r="AI751" s="112" t="s">
        <v>67</v>
      </c>
      <c r="AJ751" s="7" t="s">
        <v>67</v>
      </c>
      <c r="AK751" s="109" t="s">
        <v>67</v>
      </c>
      <c r="AL751" s="33" t="s">
        <v>3923</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5856</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5857</v>
      </c>
      <c r="BW751" s="923" t="s">
        <v>5858</v>
      </c>
      <c r="BX751" s="13"/>
      <c r="BY751" s="22"/>
      <c r="BZ751" s="22"/>
      <c r="CA751" s="22"/>
      <c r="CB751" s="22"/>
      <c r="CC751" s="22"/>
      <c r="CD751" s="22"/>
      <c r="CE751" s="1246" t="s">
        <v>3947</v>
      </c>
      <c r="CF751" s="866" t="s">
        <v>1142</v>
      </c>
    </row>
    <row r="752" spans="1:84" ht="94.5" hidden="1" customHeight="1">
      <c r="A752" s="1467"/>
      <c r="B752" s="814"/>
      <c r="C752" s="122">
        <v>45446</v>
      </c>
      <c r="D752" s="22">
        <v>6</v>
      </c>
      <c r="E752" s="921">
        <v>45170</v>
      </c>
      <c r="F752" s="921"/>
      <c r="G752" s="925">
        <v>45594</v>
      </c>
      <c r="H752" s="1793" t="s">
        <v>6333</v>
      </c>
      <c r="I752" s="331">
        <v>45203</v>
      </c>
      <c r="J752" s="331"/>
      <c r="K752" s="169">
        <v>2023</v>
      </c>
      <c r="L752" s="1446">
        <v>235015</v>
      </c>
      <c r="M752" s="1446"/>
      <c r="N752" s="170" t="s">
        <v>165</v>
      </c>
      <c r="O752" s="178" t="s">
        <v>5395</v>
      </c>
      <c r="P752" s="172" t="s">
        <v>78</v>
      </c>
      <c r="Q752" s="173" t="s">
        <v>5493</v>
      </c>
      <c r="R752" s="173" t="s">
        <v>5494</v>
      </c>
      <c r="S752" s="586">
        <v>703136.32</v>
      </c>
      <c r="T752" s="582">
        <v>45105</v>
      </c>
      <c r="U752" s="176">
        <v>45113</v>
      </c>
      <c r="V752" s="177">
        <v>45168</v>
      </c>
      <c r="W752" s="105">
        <v>45104</v>
      </c>
      <c r="X752" s="178" t="s">
        <v>1318</v>
      </c>
      <c r="Y752" s="170" t="s">
        <v>69</v>
      </c>
      <c r="Z752" s="1697" t="s">
        <v>67</v>
      </c>
      <c r="AA752" s="1413" t="s">
        <v>67</v>
      </c>
      <c r="AB752" s="33" t="s">
        <v>5679</v>
      </c>
      <c r="AC752" s="8">
        <v>45103</v>
      </c>
      <c r="AD752" s="4">
        <v>703136.32</v>
      </c>
      <c r="AE752" s="4"/>
      <c r="AF752" s="32"/>
      <c r="AG752" s="34" t="s">
        <v>67</v>
      </c>
      <c r="AH752" s="112" t="s">
        <v>67</v>
      </c>
      <c r="AI752" s="112" t="s">
        <v>67</v>
      </c>
      <c r="AJ752" s="7" t="s">
        <v>67</v>
      </c>
      <c r="AK752" s="109" t="s">
        <v>67</v>
      </c>
      <c r="AL752" s="242" t="s">
        <v>1293</v>
      </c>
      <c r="AM752" s="389" t="s">
        <v>5859</v>
      </c>
      <c r="AN752" s="58">
        <v>45105</v>
      </c>
      <c r="AO752" s="389" t="s">
        <v>5860</v>
      </c>
      <c r="AP752" s="58">
        <v>45105</v>
      </c>
      <c r="AQ752" s="243" t="s">
        <v>5861</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3947</v>
      </c>
      <c r="CF752" s="866" t="s">
        <v>5862</v>
      </c>
    </row>
    <row r="753" spans="1:84" ht="66.75" hidden="1" customHeight="1">
      <c r="A753" s="1467"/>
      <c r="B753" s="814" t="s">
        <v>6461</v>
      </c>
      <c r="C753" s="122"/>
      <c r="D753" s="22"/>
      <c r="E753" s="921"/>
      <c r="F753" s="921"/>
      <c r="G753" s="925">
        <v>45594</v>
      </c>
      <c r="H753" s="1793" t="s">
        <v>6333</v>
      </c>
      <c r="I753" s="331">
        <v>45203</v>
      </c>
      <c r="J753" s="331"/>
      <c r="K753" s="169">
        <v>2023</v>
      </c>
      <c r="L753" s="1446">
        <v>235016</v>
      </c>
      <c r="M753" s="1446"/>
      <c r="N753" s="170" t="s">
        <v>165</v>
      </c>
      <c r="O753" s="178" t="s">
        <v>5655</v>
      </c>
      <c r="P753" s="172" t="s">
        <v>78</v>
      </c>
      <c r="Q753" s="173" t="s">
        <v>5662</v>
      </c>
      <c r="R753" s="173" t="s">
        <v>1975</v>
      </c>
      <c r="S753" s="586">
        <v>821212.44</v>
      </c>
      <c r="T753" s="582">
        <v>45134</v>
      </c>
      <c r="U753" s="176">
        <v>45145</v>
      </c>
      <c r="V753" s="177">
        <v>45169</v>
      </c>
      <c r="W753" s="105">
        <v>45131</v>
      </c>
      <c r="X753" s="1066" t="s">
        <v>5663</v>
      </c>
      <c r="Y753" s="170" t="s">
        <v>212</v>
      </c>
      <c r="Z753" s="1698" t="s">
        <v>67</v>
      </c>
      <c r="AA753" s="369" t="s">
        <v>67</v>
      </c>
      <c r="AB753" s="33" t="s">
        <v>5863</v>
      </c>
      <c r="AC753" s="8">
        <v>45113</v>
      </c>
      <c r="AD753" s="4">
        <v>821212.44</v>
      </c>
      <c r="AE753" s="4"/>
      <c r="AF753" s="32"/>
      <c r="AG753" s="34" t="s">
        <v>67</v>
      </c>
      <c r="AH753" s="112" t="s">
        <v>67</v>
      </c>
      <c r="AI753" s="112" t="s">
        <v>67</v>
      </c>
      <c r="AJ753" s="7" t="s">
        <v>67</v>
      </c>
      <c r="AK753" s="109" t="s">
        <v>67</v>
      </c>
      <c r="AL753" s="33" t="s">
        <v>875</v>
      </c>
      <c r="AM753" s="2" t="s">
        <v>5864</v>
      </c>
      <c r="AN753" s="239">
        <v>45134</v>
      </c>
      <c r="AO753" s="2" t="s">
        <v>5865</v>
      </c>
      <c r="AP753" s="5">
        <v>45134</v>
      </c>
      <c r="AQ753" s="2" t="s">
        <v>6462</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63" t="s">
        <v>6463</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61" t="s">
        <v>6466</v>
      </c>
      <c r="BX753" s="13"/>
      <c r="BY753" s="22"/>
      <c r="BZ753" s="22"/>
      <c r="CA753" s="22"/>
      <c r="CB753" s="22"/>
      <c r="CC753" s="22"/>
      <c r="CD753" s="22"/>
      <c r="CE753" s="1246" t="s">
        <v>3947</v>
      </c>
      <c r="CF753" s="866" t="s">
        <v>1142</v>
      </c>
    </row>
    <row r="754" spans="1:84" ht="76.5" hidden="1" customHeight="1">
      <c r="A754" s="1467"/>
      <c r="B754" s="814"/>
      <c r="C754" s="122">
        <v>45446</v>
      </c>
      <c r="D754" s="22">
        <v>1</v>
      </c>
      <c r="E754" s="921"/>
      <c r="F754" s="921"/>
      <c r="G754" s="925">
        <v>45594</v>
      </c>
      <c r="H754" s="1793" t="s">
        <v>6333</v>
      </c>
      <c r="I754" s="331">
        <v>45201</v>
      </c>
      <c r="J754" s="331"/>
      <c r="K754" s="169">
        <v>2023</v>
      </c>
      <c r="L754" s="1446">
        <v>235017</v>
      </c>
      <c r="M754" s="1446"/>
      <c r="N754" s="170" t="s">
        <v>866</v>
      </c>
      <c r="O754" s="178" t="s">
        <v>5664</v>
      </c>
      <c r="P754" s="172" t="s">
        <v>3215</v>
      </c>
      <c r="Q754" s="173" t="s">
        <v>5665</v>
      </c>
      <c r="R754" s="173" t="s">
        <v>4412</v>
      </c>
      <c r="S754" s="586">
        <v>4998360.84</v>
      </c>
      <c r="T754" s="582">
        <v>45152</v>
      </c>
      <c r="U754" s="176">
        <v>45155</v>
      </c>
      <c r="V754" s="177">
        <v>45274</v>
      </c>
      <c r="W754" s="105" t="s">
        <v>67</v>
      </c>
      <c r="X754" s="178" t="s">
        <v>4043</v>
      </c>
      <c r="Y754" s="170" t="s">
        <v>69</v>
      </c>
      <c r="Z754" s="1902" t="s">
        <v>73</v>
      </c>
      <c r="AA754" s="1412"/>
      <c r="AB754" s="242" t="s">
        <v>5877</v>
      </c>
      <c r="AC754" s="8">
        <v>45070</v>
      </c>
      <c r="AD754" s="4">
        <v>5000000</v>
      </c>
      <c r="AE754" s="4"/>
      <c r="AF754" s="32"/>
      <c r="AG754" s="574">
        <v>45134</v>
      </c>
      <c r="AH754" s="575">
        <v>45139</v>
      </c>
      <c r="AI754" s="575">
        <v>45139</v>
      </c>
      <c r="AJ754" s="576">
        <v>45142</v>
      </c>
      <c r="AK754" s="573">
        <v>45148</v>
      </c>
      <c r="AL754" s="33" t="s">
        <v>5813</v>
      </c>
      <c r="AM754" s="2" t="s">
        <v>6494</v>
      </c>
      <c r="AN754" s="239">
        <v>45152</v>
      </c>
      <c r="AO754" s="2" t="s">
        <v>6495</v>
      </c>
      <c r="AP754" s="5">
        <v>45152</v>
      </c>
      <c r="AQ754" s="1" t="s">
        <v>6408</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6409</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6410</v>
      </c>
      <c r="BW754" s="923"/>
      <c r="BX754" s="13"/>
      <c r="BY754" s="22"/>
      <c r="BZ754" s="22"/>
      <c r="CA754" s="22"/>
      <c r="CB754" s="22"/>
      <c r="CC754" s="22"/>
      <c r="CD754" s="22"/>
      <c r="CE754" s="1246" t="s">
        <v>3947</v>
      </c>
      <c r="CF754" s="866"/>
    </row>
    <row r="755" spans="1:84" ht="63" hidden="1" customHeight="1">
      <c r="A755" s="1467"/>
      <c r="B755" s="814"/>
      <c r="C755" s="122"/>
      <c r="D755" s="22"/>
      <c r="E755" s="921"/>
      <c r="F755" s="921"/>
      <c r="G755" s="925">
        <v>45594</v>
      </c>
      <c r="H755" s="1793" t="s">
        <v>6333</v>
      </c>
      <c r="I755" s="331">
        <v>45216</v>
      </c>
      <c r="J755" s="331"/>
      <c r="K755" s="169">
        <v>2023</v>
      </c>
      <c r="L755" s="1446">
        <v>235018</v>
      </c>
      <c r="M755" s="1446"/>
      <c r="N755" s="170" t="s">
        <v>76</v>
      </c>
      <c r="O755" s="178" t="s">
        <v>5660</v>
      </c>
      <c r="P755" s="172" t="s">
        <v>3215</v>
      </c>
      <c r="Q755" s="173" t="s">
        <v>5659</v>
      </c>
      <c r="R755" s="173" t="s">
        <v>2541</v>
      </c>
      <c r="S755" s="586">
        <v>2808816.17</v>
      </c>
      <c r="T755" s="582">
        <v>45168</v>
      </c>
      <c r="U755" s="176">
        <v>45173</v>
      </c>
      <c r="V755" s="177">
        <v>45237</v>
      </c>
      <c r="W755" s="105" t="s">
        <v>67</v>
      </c>
      <c r="X755" s="178" t="s">
        <v>1318</v>
      </c>
      <c r="Y755" s="170" t="s">
        <v>69</v>
      </c>
      <c r="Z755" s="1698">
        <v>45166</v>
      </c>
      <c r="AA755" s="1412"/>
      <c r="AB755" s="33" t="s">
        <v>6397</v>
      </c>
      <c r="AC755" s="8">
        <v>45103</v>
      </c>
      <c r="AD755" s="79">
        <v>2808816.17</v>
      </c>
      <c r="AE755" s="4"/>
      <c r="AF755" s="32"/>
      <c r="AG755" s="574">
        <v>45154</v>
      </c>
      <c r="AH755" s="575">
        <v>45156</v>
      </c>
      <c r="AI755" s="575">
        <v>45156</v>
      </c>
      <c r="AJ755" s="576">
        <v>45162</v>
      </c>
      <c r="AK755" s="573">
        <v>45167</v>
      </c>
      <c r="AL755" s="1901"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94"/>
      <c r="BC755" s="1894"/>
      <c r="BD755" s="1904"/>
      <c r="BE755" s="66" t="s">
        <v>73</v>
      </c>
      <c r="BF755" s="1452"/>
      <c r="BG755" s="1894"/>
      <c r="BH755" s="1894"/>
      <c r="BI755" s="1894"/>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3947</v>
      </c>
      <c r="CF755" s="866"/>
    </row>
    <row r="756" spans="1:84" ht="64.5" hidden="1" customHeight="1">
      <c r="A756" s="1467"/>
      <c r="B756" s="814"/>
      <c r="C756" s="122"/>
      <c r="D756" s="22"/>
      <c r="E756" s="921"/>
      <c r="F756" s="921"/>
      <c r="G756" s="925">
        <v>45594</v>
      </c>
      <c r="H756" s="1793" t="s">
        <v>6333</v>
      </c>
      <c r="I756" s="331">
        <v>45302</v>
      </c>
      <c r="J756" s="331"/>
      <c r="K756" s="169">
        <v>2023</v>
      </c>
      <c r="L756" s="1446">
        <v>235019</v>
      </c>
      <c r="M756" s="1446"/>
      <c r="N756" s="170" t="s">
        <v>76</v>
      </c>
      <c r="O756" s="178" t="s">
        <v>5656</v>
      </c>
      <c r="P756" s="172" t="s">
        <v>78</v>
      </c>
      <c r="Q756" s="173" t="s">
        <v>5661</v>
      </c>
      <c r="R756" s="173" t="s">
        <v>2541</v>
      </c>
      <c r="S756" s="586">
        <v>2049615.46</v>
      </c>
      <c r="T756" s="582">
        <v>45168</v>
      </c>
      <c r="U756" s="176">
        <v>45180</v>
      </c>
      <c r="V756" s="177">
        <v>45230</v>
      </c>
      <c r="W756" s="105">
        <v>45163</v>
      </c>
      <c r="X756" s="178" t="s">
        <v>4516</v>
      </c>
      <c r="Y756" s="170" t="s">
        <v>69</v>
      </c>
      <c r="Z756" s="1698">
        <v>45173</v>
      </c>
      <c r="AA756" s="369" t="s">
        <v>5811</v>
      </c>
      <c r="AB756" s="33" t="s">
        <v>5866</v>
      </c>
      <c r="AC756" s="8">
        <v>45103</v>
      </c>
      <c r="AD756" s="4">
        <v>2049521.95</v>
      </c>
      <c r="AE756" s="4"/>
      <c r="AF756" s="32"/>
      <c r="AG756" s="34" t="s">
        <v>67</v>
      </c>
      <c r="AH756" s="112" t="s">
        <v>67</v>
      </c>
      <c r="AI756" s="112" t="s">
        <v>67</v>
      </c>
      <c r="AJ756" s="7" t="s">
        <v>67</v>
      </c>
      <c r="AK756" s="109" t="s">
        <v>67</v>
      </c>
      <c r="AL756" s="33" t="s">
        <v>5867</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62" t="s">
        <v>6500</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5868</v>
      </c>
      <c r="BW756" s="923"/>
      <c r="BX756" s="13"/>
      <c r="BY756" s="22"/>
      <c r="BZ756" s="22"/>
      <c r="CA756" s="22"/>
      <c r="CB756" s="22"/>
      <c r="CC756" s="22"/>
      <c r="CD756" s="22"/>
      <c r="CE756" s="1246" t="s">
        <v>3947</v>
      </c>
      <c r="CF756" s="866"/>
    </row>
    <row r="757" spans="1:84" ht="54.75" hidden="1" customHeight="1">
      <c r="A757" s="1467"/>
      <c r="B757" s="814"/>
      <c r="C757" s="122"/>
      <c r="D757" s="22"/>
      <c r="E757" s="921"/>
      <c r="F757" s="921"/>
      <c r="G757" s="925">
        <v>45594</v>
      </c>
      <c r="H757" s="1793" t="s">
        <v>6333</v>
      </c>
      <c r="I757" s="331">
        <v>45302</v>
      </c>
      <c r="J757" s="331"/>
      <c r="K757" s="169">
        <v>2023</v>
      </c>
      <c r="L757" s="1446">
        <v>235020</v>
      </c>
      <c r="M757" s="1446"/>
      <c r="N757" s="170" t="s">
        <v>165</v>
      </c>
      <c r="O757" s="178" t="s">
        <v>5657</v>
      </c>
      <c r="P757" s="172" t="s">
        <v>78</v>
      </c>
      <c r="Q757" s="173" t="s">
        <v>5666</v>
      </c>
      <c r="R757" s="173" t="s">
        <v>4413</v>
      </c>
      <c r="S757" s="586">
        <v>304838.93</v>
      </c>
      <c r="T757" s="582">
        <v>45166</v>
      </c>
      <c r="U757" s="176">
        <v>45168</v>
      </c>
      <c r="V757" s="177">
        <v>45199</v>
      </c>
      <c r="W757" s="105">
        <v>45167</v>
      </c>
      <c r="X757" s="178" t="s">
        <v>4365</v>
      </c>
      <c r="Y757" s="170" t="s">
        <v>212</v>
      </c>
      <c r="Z757" s="1698" t="s">
        <v>67</v>
      </c>
      <c r="AA757" s="369" t="s">
        <v>67</v>
      </c>
      <c r="AB757" s="33" t="s">
        <v>5869</v>
      </c>
      <c r="AC757" s="8">
        <v>44932</v>
      </c>
      <c r="AD757" s="4">
        <v>898000</v>
      </c>
      <c r="AE757" s="4"/>
      <c r="AF757" s="32"/>
      <c r="AG757" s="34" t="s">
        <v>67</v>
      </c>
      <c r="AH757" s="112" t="s">
        <v>67</v>
      </c>
      <c r="AI757" s="112" t="s">
        <v>67</v>
      </c>
      <c r="AJ757" s="7" t="s">
        <v>67</v>
      </c>
      <c r="AK757" s="109" t="s">
        <v>67</v>
      </c>
      <c r="AL757" s="1901" t="s">
        <v>73</v>
      </c>
      <c r="AM757" s="1900"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3947</v>
      </c>
      <c r="CF757" s="866"/>
    </row>
    <row r="758" spans="1:84" ht="123" hidden="1" customHeight="1">
      <c r="A758" s="1467"/>
      <c r="B758" s="814"/>
      <c r="C758" s="122"/>
      <c r="D758" s="22"/>
      <c r="E758" s="921"/>
      <c r="F758" s="921"/>
      <c r="G758" s="925">
        <v>45594</v>
      </c>
      <c r="H758" s="1793" t="s">
        <v>6333</v>
      </c>
      <c r="I758" s="331">
        <v>45302</v>
      </c>
      <c r="J758" s="331"/>
      <c r="K758" s="169">
        <v>2023</v>
      </c>
      <c r="L758" s="1446">
        <v>235021</v>
      </c>
      <c r="M758" s="1446"/>
      <c r="N758" s="170" t="s">
        <v>76</v>
      </c>
      <c r="O758" s="178" t="s">
        <v>5962</v>
      </c>
      <c r="P758" s="172" t="s">
        <v>78</v>
      </c>
      <c r="Q758" s="173" t="s">
        <v>5794</v>
      </c>
      <c r="R758" s="173" t="s">
        <v>4412</v>
      </c>
      <c r="S758" s="586">
        <v>853249.52</v>
      </c>
      <c r="T758" s="582">
        <v>45203</v>
      </c>
      <c r="U758" s="176">
        <v>45209</v>
      </c>
      <c r="V758" s="177">
        <v>45222</v>
      </c>
      <c r="W758" s="105">
        <v>45202</v>
      </c>
      <c r="X758" s="178" t="s">
        <v>738</v>
      </c>
      <c r="Y758" s="170" t="s">
        <v>69</v>
      </c>
      <c r="Z758" s="1698">
        <v>45201</v>
      </c>
      <c r="AA758" s="1412"/>
      <c r="AB758" s="33" t="s">
        <v>5870</v>
      </c>
      <c r="AC758" s="8">
        <v>45070</v>
      </c>
      <c r="AD758" s="4">
        <v>853249.52</v>
      </c>
      <c r="AE758" s="4"/>
      <c r="AF758" s="32"/>
      <c r="AG758" s="34" t="s">
        <v>67</v>
      </c>
      <c r="AH758" s="112" t="s">
        <v>67</v>
      </c>
      <c r="AI758" s="112" t="s">
        <v>67</v>
      </c>
      <c r="AJ758" s="7" t="s">
        <v>67</v>
      </c>
      <c r="AK758" s="109" t="s">
        <v>67</v>
      </c>
      <c r="AL758" s="33" t="s">
        <v>5813</v>
      </c>
      <c r="AM758" s="2" t="s">
        <v>5871</v>
      </c>
      <c r="AN758" s="5">
        <v>45203</v>
      </c>
      <c r="AO758" s="2" t="s">
        <v>5872</v>
      </c>
      <c r="AP758" s="239">
        <v>45203</v>
      </c>
      <c r="AQ758" s="2" t="s">
        <v>6503</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60" t="s">
        <v>5873</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3947</v>
      </c>
      <c r="CF758" s="866"/>
    </row>
    <row r="759" spans="1:84" ht="71.25" hidden="1" customHeight="1">
      <c r="A759" s="1467"/>
      <c r="B759" s="81"/>
      <c r="C759" s="123"/>
      <c r="D759" s="81"/>
      <c r="E759" s="1009"/>
      <c r="F759" s="1009"/>
      <c r="G759" s="123">
        <v>45301</v>
      </c>
      <c r="H759" s="1885" t="s">
        <v>1294</v>
      </c>
      <c r="I759" s="612"/>
      <c r="J759" s="612"/>
      <c r="K759" s="1010">
        <v>2023</v>
      </c>
      <c r="L759" s="1446">
        <v>235022</v>
      </c>
      <c r="M759" s="1446"/>
      <c r="N759" s="613" t="s">
        <v>165</v>
      </c>
      <c r="O759" s="618" t="s">
        <v>5795</v>
      </c>
      <c r="P759" s="646" t="s">
        <v>250</v>
      </c>
      <c r="Q759" s="647" t="s">
        <v>5796</v>
      </c>
      <c r="R759" s="647" t="s">
        <v>1975</v>
      </c>
      <c r="S759" s="614">
        <v>247646.07999999999</v>
      </c>
      <c r="T759" s="615">
        <v>45212</v>
      </c>
      <c r="U759" s="616">
        <v>45215</v>
      </c>
      <c r="V759" s="617">
        <v>45258</v>
      </c>
      <c r="W759" s="371">
        <v>45212</v>
      </c>
      <c r="X759" s="618" t="s">
        <v>4453</v>
      </c>
      <c r="Y759" s="613" t="s">
        <v>69</v>
      </c>
      <c r="Z759" s="1765"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66"/>
      <c r="AQ759" s="85"/>
      <c r="AR759" s="88"/>
      <c r="AS759" s="285"/>
      <c r="AT759" s="98">
        <v>0</v>
      </c>
      <c r="AU759" s="908"/>
      <c r="AV759" s="897"/>
      <c r="AW759" s="1767" t="s">
        <v>73</v>
      </c>
      <c r="AX759" s="89"/>
      <c r="AY759" s="339"/>
      <c r="AZ759" s="101"/>
      <c r="BA759" s="632" t="s">
        <v>73</v>
      </c>
      <c r="BB759" s="88"/>
      <c r="BC759" s="88"/>
      <c r="BD759" s="89"/>
      <c r="BE759" s="632" t="s">
        <v>73</v>
      </c>
      <c r="BF759" s="846" t="str">
        <f>O759</f>
        <v>GMJ 022 OP/2023</v>
      </c>
      <c r="BG759" s="88"/>
      <c r="BH759" s="88"/>
      <c r="BI759" s="88"/>
      <c r="BJ759" s="99">
        <f>AT759+AU759</f>
        <v>0</v>
      </c>
      <c r="BK759" s="1790" t="s">
        <v>73</v>
      </c>
      <c r="BL759" s="1917"/>
      <c r="BM759" s="1745"/>
      <c r="BN759" s="1743"/>
      <c r="BO759" s="1743"/>
      <c r="BP759" s="1744"/>
      <c r="BQ759" s="1744"/>
      <c r="BR759" s="1744"/>
      <c r="BS759" s="1744"/>
      <c r="BT759" s="1744"/>
      <c r="BU759" s="1744"/>
      <c r="BV759" s="1744"/>
      <c r="BW759" s="1745"/>
      <c r="BX759" s="102"/>
      <c r="BY759" s="81"/>
      <c r="BZ759" s="81"/>
      <c r="CA759" s="81"/>
      <c r="CB759" s="81"/>
      <c r="CC759" s="81"/>
      <c r="CD759" s="81"/>
      <c r="CE759" s="1246" t="s">
        <v>3947</v>
      </c>
      <c r="CF759" s="1768"/>
    </row>
    <row r="760" spans="1:84" ht="69.75" hidden="1" customHeight="1">
      <c r="A760" s="1467"/>
      <c r="B760" s="814"/>
      <c r="C760" s="122"/>
      <c r="D760" s="22"/>
      <c r="E760" s="921"/>
      <c r="F760" s="921"/>
      <c r="G760" s="925">
        <v>45594</v>
      </c>
      <c r="H760" s="1793" t="s">
        <v>6333</v>
      </c>
      <c r="I760" s="331"/>
      <c r="J760" s="331"/>
      <c r="K760" s="169">
        <v>2023</v>
      </c>
      <c r="L760" s="1446">
        <v>235023</v>
      </c>
      <c r="M760" s="1446"/>
      <c r="N760" s="170" t="s">
        <v>165</v>
      </c>
      <c r="O760" s="178" t="s">
        <v>5961</v>
      </c>
      <c r="P760" s="172" t="s">
        <v>78</v>
      </c>
      <c r="Q760" s="173" t="s">
        <v>5797</v>
      </c>
      <c r="R760" s="173" t="s">
        <v>4412</v>
      </c>
      <c r="S760" s="586">
        <v>330252</v>
      </c>
      <c r="T760" s="582">
        <v>45212</v>
      </c>
      <c r="U760" s="176">
        <v>45222</v>
      </c>
      <c r="V760" s="177">
        <v>45282</v>
      </c>
      <c r="W760" s="105">
        <v>45212</v>
      </c>
      <c r="X760" s="178" t="s">
        <v>4453</v>
      </c>
      <c r="Y760" s="170" t="s">
        <v>69</v>
      </c>
      <c r="Z760" s="1698"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5907</v>
      </c>
      <c r="AP760" s="239">
        <v>45290</v>
      </c>
      <c r="AQ760" s="2" t="s">
        <v>5908</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62" t="s">
        <v>6505</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3947</v>
      </c>
      <c r="CF760" s="866"/>
    </row>
    <row r="761" spans="1:84" ht="69.75" hidden="1" customHeight="1">
      <c r="A761" s="1467"/>
      <c r="B761" s="814" t="s">
        <v>6461</v>
      </c>
      <c r="C761" s="122">
        <v>45446</v>
      </c>
      <c r="D761" s="22">
        <v>4</v>
      </c>
      <c r="E761" s="921"/>
      <c r="F761" s="921"/>
      <c r="G761" s="925">
        <v>45594</v>
      </c>
      <c r="H761" s="1793" t="s">
        <v>6333</v>
      </c>
      <c r="I761" s="331">
        <v>45268</v>
      </c>
      <c r="J761" s="331"/>
      <c r="K761" s="169">
        <v>2023</v>
      </c>
      <c r="L761" s="1446">
        <v>235024</v>
      </c>
      <c r="M761" s="1446"/>
      <c r="N761" s="170" t="s">
        <v>165</v>
      </c>
      <c r="O761" s="178" t="s">
        <v>5799</v>
      </c>
      <c r="P761" s="172" t="s">
        <v>3215</v>
      </c>
      <c r="Q761" s="173" t="s">
        <v>5798</v>
      </c>
      <c r="R761" s="173" t="s">
        <v>2541</v>
      </c>
      <c r="S761" s="586">
        <v>5281923.58</v>
      </c>
      <c r="T761" s="582">
        <v>45245</v>
      </c>
      <c r="U761" s="176">
        <v>45251</v>
      </c>
      <c r="V761" s="177">
        <v>45370</v>
      </c>
      <c r="W761" s="105" t="s">
        <v>67</v>
      </c>
      <c r="X761" s="1066" t="s">
        <v>5801</v>
      </c>
      <c r="Y761" s="170" t="s">
        <v>448</v>
      </c>
      <c r="Z761" s="1698">
        <v>45243</v>
      </c>
      <c r="AA761" s="1412"/>
      <c r="AB761" s="338" t="s">
        <v>73</v>
      </c>
      <c r="AC761" s="8"/>
      <c r="AD761" s="4"/>
      <c r="AE761" s="4"/>
      <c r="AF761" s="32"/>
      <c r="AG761" s="574">
        <v>45231</v>
      </c>
      <c r="AH761" s="575">
        <v>45233</v>
      </c>
      <c r="AI761" s="575">
        <v>45233</v>
      </c>
      <c r="AJ761" s="576">
        <v>45240</v>
      </c>
      <c r="AK761" s="573">
        <v>45244</v>
      </c>
      <c r="AL761" s="242" t="s">
        <v>3576</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63" t="s">
        <v>6464</v>
      </c>
      <c r="BG761" s="5">
        <v>45251</v>
      </c>
      <c r="BH761" s="5">
        <v>45423</v>
      </c>
      <c r="BI761" s="5">
        <v>45415</v>
      </c>
      <c r="BJ761" s="1919">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57" t="s">
        <v>6465</v>
      </c>
      <c r="BW761" s="337">
        <v>45371</v>
      </c>
      <c r="BX761" s="13"/>
      <c r="BY761" s="22"/>
      <c r="BZ761" s="22"/>
      <c r="CA761" s="22"/>
      <c r="CB761" s="22"/>
      <c r="CC761" s="22"/>
      <c r="CD761" s="22"/>
      <c r="CE761" s="1246" t="s">
        <v>3947</v>
      </c>
      <c r="CF761" s="866"/>
    </row>
    <row r="762" spans="1:84" ht="84.75" hidden="1" customHeight="1">
      <c r="A762" s="1467"/>
      <c r="B762" s="814" t="s">
        <v>6461</v>
      </c>
      <c r="C762" s="122"/>
      <c r="D762" s="22"/>
      <c r="E762" s="921"/>
      <c r="F762" s="921"/>
      <c r="G762" s="925">
        <v>45594</v>
      </c>
      <c r="H762" s="1793" t="s">
        <v>6333</v>
      </c>
      <c r="I762" s="331"/>
      <c r="J762" s="331"/>
      <c r="K762" s="169">
        <v>2023</v>
      </c>
      <c r="L762" s="1446">
        <v>235025</v>
      </c>
      <c r="M762" s="1446"/>
      <c r="N762" s="170" t="s">
        <v>165</v>
      </c>
      <c r="O762" s="178" t="s">
        <v>5658</v>
      </c>
      <c r="P762" s="172" t="s">
        <v>78</v>
      </c>
      <c r="Q762" s="173" t="s">
        <v>5830</v>
      </c>
      <c r="R762" s="173" t="s">
        <v>4413</v>
      </c>
      <c r="S762" s="586">
        <v>441962.08</v>
      </c>
      <c r="T762" s="582">
        <v>45247</v>
      </c>
      <c r="U762" s="176">
        <v>45245</v>
      </c>
      <c r="V762" s="177">
        <v>45290</v>
      </c>
      <c r="W762" s="105">
        <v>45245</v>
      </c>
      <c r="X762" s="178" t="s">
        <v>4365</v>
      </c>
      <c r="Y762" s="170" t="s">
        <v>212</v>
      </c>
      <c r="Z762" s="1698" t="s">
        <v>1427</v>
      </c>
      <c r="AA762" s="1412"/>
      <c r="AB762" s="33" t="s">
        <v>6467</v>
      </c>
      <c r="AC762" s="8">
        <v>44932</v>
      </c>
      <c r="AD762" s="4">
        <v>898000</v>
      </c>
      <c r="AE762" s="4"/>
      <c r="AF762" s="32"/>
      <c r="AG762" s="34" t="s">
        <v>67</v>
      </c>
      <c r="AH762" s="112" t="s">
        <v>67</v>
      </c>
      <c r="AI762" s="112" t="s">
        <v>67</v>
      </c>
      <c r="AJ762" s="7" t="s">
        <v>67</v>
      </c>
      <c r="AK762" s="109" t="s">
        <v>67</v>
      </c>
      <c r="AL762" s="33" t="s">
        <v>1341</v>
      </c>
      <c r="AM762" s="1900" t="s">
        <v>67</v>
      </c>
      <c r="AN762" s="5"/>
      <c r="AO762" s="2" t="s">
        <v>6468</v>
      </c>
      <c r="AP762" s="5">
        <v>45288</v>
      </c>
      <c r="AQ762" s="2" t="s">
        <v>6469</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63" t="s">
        <v>6470</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3947</v>
      </c>
      <c r="CF762" s="866"/>
    </row>
    <row r="763" spans="1:84" ht="113.25" hidden="1" customHeight="1">
      <c r="A763" s="1467"/>
      <c r="B763" s="814" t="s">
        <v>6461</v>
      </c>
      <c r="C763" s="122"/>
      <c r="D763" s="22"/>
      <c r="E763" s="921"/>
      <c r="F763" s="921"/>
      <c r="G763" s="925">
        <v>45594</v>
      </c>
      <c r="H763" s="1793" t="s">
        <v>6333</v>
      </c>
      <c r="I763" s="331">
        <v>45302</v>
      </c>
      <c r="J763" s="331"/>
      <c r="K763" s="169">
        <v>2023</v>
      </c>
      <c r="L763" s="1446">
        <v>235026</v>
      </c>
      <c r="M763" s="1446"/>
      <c r="N763" s="170" t="s">
        <v>5826</v>
      </c>
      <c r="O763" s="1758" t="s">
        <v>5827</v>
      </c>
      <c r="P763" s="172" t="s">
        <v>5828</v>
      </c>
      <c r="Q763" s="173" t="s">
        <v>5829</v>
      </c>
      <c r="R763" s="173" t="s">
        <v>1975</v>
      </c>
      <c r="S763" s="1196">
        <v>2969939.23</v>
      </c>
      <c r="T763" s="175">
        <v>45268</v>
      </c>
      <c r="U763" s="176">
        <v>45271</v>
      </c>
      <c r="V763" s="177">
        <v>45290</v>
      </c>
      <c r="W763" s="105" t="s">
        <v>67</v>
      </c>
      <c r="X763" s="178" t="s">
        <v>5400</v>
      </c>
      <c r="Y763" s="170" t="s">
        <v>69</v>
      </c>
      <c r="Z763" s="1902" t="s">
        <v>73</v>
      </c>
      <c r="AA763" s="1412"/>
      <c r="AB763" s="242" t="s">
        <v>5879</v>
      </c>
      <c r="AC763" s="8">
        <v>45070</v>
      </c>
      <c r="AD763" s="4">
        <v>1504452.21</v>
      </c>
      <c r="AE763" s="4"/>
      <c r="AF763" s="32"/>
      <c r="AG763" s="574">
        <v>45254</v>
      </c>
      <c r="AH763" s="575">
        <v>45257</v>
      </c>
      <c r="AI763" s="575">
        <v>45257</v>
      </c>
      <c r="AJ763" s="576">
        <v>45264</v>
      </c>
      <c r="AK763" s="573">
        <v>45267</v>
      </c>
      <c r="AL763" s="33" t="s">
        <v>3576</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6411</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3947</v>
      </c>
      <c r="CF763" s="866"/>
    </row>
    <row r="764" spans="1:84" ht="75.75" hidden="1" customHeight="1">
      <c r="A764" s="1467"/>
      <c r="B764" s="814" t="s">
        <v>6461</v>
      </c>
      <c r="C764" s="122"/>
      <c r="D764" s="22"/>
      <c r="E764" s="921"/>
      <c r="F764" s="921"/>
      <c r="G764" s="925">
        <v>45596</v>
      </c>
      <c r="H764" s="1793" t="s">
        <v>1404</v>
      </c>
      <c r="I764" s="331"/>
      <c r="J764" s="331"/>
      <c r="K764" s="169">
        <v>2023</v>
      </c>
      <c r="L764" s="1446">
        <v>235027</v>
      </c>
      <c r="M764" s="1446"/>
      <c r="N764" s="170" t="s">
        <v>165</v>
      </c>
      <c r="O764" s="178" t="s">
        <v>5822</v>
      </c>
      <c r="P764" s="172" t="s">
        <v>78</v>
      </c>
      <c r="Q764" s="173" t="s">
        <v>5831</v>
      </c>
      <c r="R764" s="173" t="s">
        <v>2541</v>
      </c>
      <c r="S764" s="586">
        <v>1515153.08</v>
      </c>
      <c r="T764" s="582">
        <v>45258</v>
      </c>
      <c r="U764" s="176">
        <v>45264</v>
      </c>
      <c r="V764" s="177">
        <v>45374</v>
      </c>
      <c r="W764" s="105">
        <v>45257</v>
      </c>
      <c r="X764" s="178" t="s">
        <v>5832</v>
      </c>
      <c r="Y764" s="170" t="s">
        <v>448</v>
      </c>
      <c r="Z764" s="1698">
        <v>45251</v>
      </c>
      <c r="AA764" s="1412"/>
      <c r="AB764" s="33" t="s">
        <v>6381</v>
      </c>
      <c r="AC764" s="8">
        <v>45254</v>
      </c>
      <c r="AD764" s="4">
        <v>1515153.08</v>
      </c>
      <c r="AE764" s="4"/>
      <c r="AF764" s="32"/>
      <c r="AG764" s="34" t="s">
        <v>67</v>
      </c>
      <c r="AH764" s="112" t="s">
        <v>67</v>
      </c>
      <c r="AI764" s="112" t="s">
        <v>67</v>
      </c>
      <c r="AJ764" s="7" t="s">
        <v>67</v>
      </c>
      <c r="AK764" s="109" t="s">
        <v>67</v>
      </c>
      <c r="AL764" s="242" t="s">
        <v>3576</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62" t="s">
        <v>6471</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3947</v>
      </c>
      <c r="CF764" s="866"/>
    </row>
    <row r="765" spans="1:84" ht="103.5" hidden="1" customHeight="1">
      <c r="A765" s="1467"/>
      <c r="B765" s="814" t="s">
        <v>6461</v>
      </c>
      <c r="C765" s="122"/>
      <c r="D765" s="22"/>
      <c r="E765" s="921"/>
      <c r="F765" s="921"/>
      <c r="G765" s="925">
        <v>45596</v>
      </c>
      <c r="H765" s="1793" t="s">
        <v>1404</v>
      </c>
      <c r="I765" s="331"/>
      <c r="J765" s="331"/>
      <c r="K765" s="169">
        <v>2023</v>
      </c>
      <c r="L765" s="1446">
        <v>235028</v>
      </c>
      <c r="M765" s="1446"/>
      <c r="N765" s="170" t="s">
        <v>165</v>
      </c>
      <c r="O765" s="178" t="s">
        <v>5823</v>
      </c>
      <c r="P765" s="172" t="s">
        <v>78</v>
      </c>
      <c r="Q765" s="173" t="s">
        <v>5833</v>
      </c>
      <c r="R765" s="173" t="s">
        <v>2541</v>
      </c>
      <c r="S765" s="586">
        <v>1777367.51</v>
      </c>
      <c r="T765" s="582">
        <v>45258</v>
      </c>
      <c r="U765" s="176">
        <v>45264</v>
      </c>
      <c r="V765" s="177">
        <v>45374</v>
      </c>
      <c r="W765" s="105">
        <v>45257</v>
      </c>
      <c r="X765" s="178" t="s">
        <v>5834</v>
      </c>
      <c r="Y765" s="170" t="s">
        <v>448</v>
      </c>
      <c r="Z765" s="1698">
        <v>45251</v>
      </c>
      <c r="AA765" s="1412"/>
      <c r="AB765" s="338" t="s">
        <v>73</v>
      </c>
      <c r="AC765" s="8"/>
      <c r="AD765" s="4"/>
      <c r="AE765" s="4"/>
      <c r="AF765" s="32"/>
      <c r="AG765" s="34" t="s">
        <v>67</v>
      </c>
      <c r="AH765" s="112" t="s">
        <v>67</v>
      </c>
      <c r="AI765" s="112" t="s">
        <v>67</v>
      </c>
      <c r="AJ765" s="7" t="s">
        <v>67</v>
      </c>
      <c r="AK765" s="109" t="s">
        <v>67</v>
      </c>
      <c r="AL765" s="242" t="s">
        <v>3576</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6516</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3947</v>
      </c>
      <c r="CF765" s="866"/>
    </row>
    <row r="766" spans="1:84" ht="117.75" hidden="1" customHeight="1">
      <c r="A766" s="1467"/>
      <c r="B766" s="814"/>
      <c r="C766" s="122"/>
      <c r="D766" s="22"/>
      <c r="E766" s="921"/>
      <c r="F766" s="921"/>
      <c r="G766" s="925">
        <v>45596</v>
      </c>
      <c r="H766" s="1793" t="s">
        <v>6333</v>
      </c>
      <c r="I766" s="331"/>
      <c r="J766" s="331"/>
      <c r="K766" s="169">
        <v>2023</v>
      </c>
      <c r="L766" s="1446">
        <v>235029</v>
      </c>
      <c r="M766" s="1446"/>
      <c r="N766" s="170" t="s">
        <v>76</v>
      </c>
      <c r="O766" s="178" t="s">
        <v>5824</v>
      </c>
      <c r="P766" s="172" t="s">
        <v>78</v>
      </c>
      <c r="Q766" s="173" t="s">
        <v>6331</v>
      </c>
      <c r="R766" s="173" t="s">
        <v>1975</v>
      </c>
      <c r="S766" s="586">
        <v>521271.1</v>
      </c>
      <c r="T766" s="582">
        <v>45257</v>
      </c>
      <c r="U766" s="176">
        <v>45258</v>
      </c>
      <c r="V766" s="177">
        <v>45276</v>
      </c>
      <c r="W766" s="105">
        <v>45257</v>
      </c>
      <c r="X766" s="178" t="s">
        <v>3472</v>
      </c>
      <c r="Y766" s="170" t="s">
        <v>69</v>
      </c>
      <c r="Z766" s="1728"/>
      <c r="AA766" s="1412"/>
      <c r="AB766" s="33" t="s">
        <v>5876</v>
      </c>
      <c r="AC766" s="8">
        <v>45027</v>
      </c>
      <c r="AD766" s="4">
        <v>600000</v>
      </c>
      <c r="AE766" s="4"/>
      <c r="AF766" s="32"/>
      <c r="AG766" s="34" t="s">
        <v>67</v>
      </c>
      <c r="AH766" s="112" t="s">
        <v>67</v>
      </c>
      <c r="AI766" s="112" t="s">
        <v>67</v>
      </c>
      <c r="AJ766" s="7" t="s">
        <v>67</v>
      </c>
      <c r="AK766" s="109" t="s">
        <v>67</v>
      </c>
      <c r="AL766" s="33" t="s">
        <v>5813</v>
      </c>
      <c r="AM766" s="2" t="s">
        <v>67</v>
      </c>
      <c r="AN766" s="5"/>
      <c r="AO766" s="2" t="s">
        <v>6517</v>
      </c>
      <c r="AP766" s="239">
        <v>45257</v>
      </c>
      <c r="AQ766" s="2" t="s">
        <v>6517</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62"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3947</v>
      </c>
      <c r="CF766" s="866"/>
    </row>
    <row r="767" spans="1:84" ht="108" hidden="1" customHeight="1">
      <c r="A767" s="1467"/>
      <c r="B767" s="814"/>
      <c r="C767" s="122"/>
      <c r="D767" s="22"/>
      <c r="E767" s="921"/>
      <c r="F767" s="921"/>
      <c r="G767" s="925">
        <v>45596</v>
      </c>
      <c r="H767" s="1793" t="s">
        <v>6333</v>
      </c>
      <c r="I767" s="331"/>
      <c r="J767" s="331"/>
      <c r="K767" s="169">
        <v>2023</v>
      </c>
      <c r="L767" s="1446">
        <v>235030</v>
      </c>
      <c r="M767" s="1446"/>
      <c r="N767" s="170" t="s">
        <v>5835</v>
      </c>
      <c r="O767" s="178" t="s">
        <v>5825</v>
      </c>
      <c r="P767" s="172" t="s">
        <v>78</v>
      </c>
      <c r="Q767" s="173" t="s">
        <v>5836</v>
      </c>
      <c r="R767" s="173" t="s">
        <v>4412</v>
      </c>
      <c r="S767" s="586">
        <v>810268.98</v>
      </c>
      <c r="T767" s="582">
        <v>45269</v>
      </c>
      <c r="U767" s="176">
        <v>45271</v>
      </c>
      <c r="V767" s="177">
        <v>45290</v>
      </c>
      <c r="W767" s="105">
        <v>45268</v>
      </c>
      <c r="X767" s="178" t="s">
        <v>4450</v>
      </c>
      <c r="Y767" s="170" t="s">
        <v>69</v>
      </c>
      <c r="Z767" s="1902" t="s">
        <v>73</v>
      </c>
      <c r="AA767" s="1412"/>
      <c r="AB767" s="33" t="s">
        <v>6398</v>
      </c>
      <c r="AC767" s="8">
        <v>45268</v>
      </c>
      <c r="AD767" s="79">
        <v>810268.98</v>
      </c>
      <c r="AE767" s="4"/>
      <c r="AF767" s="32"/>
      <c r="AG767" s="34" t="s">
        <v>67</v>
      </c>
      <c r="AH767" s="112" t="s">
        <v>67</v>
      </c>
      <c r="AI767" s="112" t="s">
        <v>67</v>
      </c>
      <c r="AJ767" s="7" t="s">
        <v>67</v>
      </c>
      <c r="AK767" s="573" t="s">
        <v>67</v>
      </c>
      <c r="AL767" s="33" t="s">
        <v>893</v>
      </c>
      <c r="AM767" s="2" t="s">
        <v>67</v>
      </c>
      <c r="AN767" s="5"/>
      <c r="AO767" s="2" t="s">
        <v>6412</v>
      </c>
      <c r="AP767" s="239">
        <v>45271</v>
      </c>
      <c r="AQ767" s="2" t="s">
        <v>6413</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62"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57" t="s">
        <v>6519</v>
      </c>
      <c r="BW767" s="923"/>
      <c r="BX767" s="13"/>
      <c r="BY767" s="22"/>
      <c r="BZ767" s="22"/>
      <c r="CA767" s="22"/>
      <c r="CB767" s="22"/>
      <c r="CC767" s="22"/>
      <c r="CD767" s="22"/>
      <c r="CE767" s="1246" t="s">
        <v>3947</v>
      </c>
      <c r="CF767" s="866"/>
    </row>
    <row r="768" spans="1:84" s="104" customFormat="1" ht="34.5" hidden="1" customHeight="1">
      <c r="A768"/>
      <c r="B768" s="81"/>
      <c r="C768" s="123"/>
      <c r="D768" s="81"/>
      <c r="E768" s="1009"/>
      <c r="F768" s="1009"/>
      <c r="G768" s="123"/>
      <c r="H768" s="1885" t="s">
        <v>1294</v>
      </c>
      <c r="I768" s="612"/>
      <c r="J768" s="612"/>
      <c r="K768" s="1010">
        <v>2023</v>
      </c>
      <c r="L768" s="1448">
        <v>235031</v>
      </c>
      <c r="M768" s="1448"/>
      <c r="N768" s="613"/>
      <c r="O768" s="618" t="s">
        <v>5882</v>
      </c>
      <c r="P768" s="646" t="s">
        <v>250</v>
      </c>
      <c r="Q768" s="647" t="s">
        <v>250</v>
      </c>
      <c r="R768" s="647"/>
      <c r="S768" s="614"/>
      <c r="T768" s="615"/>
      <c r="U768" s="616"/>
      <c r="V768" s="617"/>
      <c r="W768" s="371"/>
      <c r="X768" s="618"/>
      <c r="Y768" s="613"/>
      <c r="Z768" s="1765"/>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45"/>
      <c r="BN768" s="1743"/>
      <c r="BO768" s="1743"/>
      <c r="BP768" s="1744"/>
      <c r="BQ768" s="1744"/>
      <c r="BR768" s="1744"/>
      <c r="BS768" s="1744"/>
      <c r="BT768" s="1744"/>
      <c r="BU768" s="1744"/>
      <c r="BV768" s="1744"/>
      <c r="BW768" s="1745"/>
      <c r="BX768" s="102" t="s">
        <v>250</v>
      </c>
      <c r="BY768" s="81"/>
      <c r="BZ768" s="81"/>
      <c r="CA768" s="81"/>
      <c r="CB768" s="81"/>
      <c r="CC768" s="81"/>
      <c r="CD768" s="81"/>
      <c r="CE768" s="1432" t="s">
        <v>3947</v>
      </c>
      <c r="CF768" s="1768"/>
    </row>
    <row r="769" spans="1:84" ht="63" hidden="1" customHeight="1">
      <c r="A769" s="1467"/>
      <c r="B769" s="814"/>
      <c r="C769" s="122"/>
      <c r="D769" s="22"/>
      <c r="E769" s="921"/>
      <c r="F769" s="921"/>
      <c r="G769" s="925">
        <v>45596</v>
      </c>
      <c r="H769" s="1793" t="s">
        <v>1404</v>
      </c>
      <c r="I769" s="331"/>
      <c r="J769" s="331"/>
      <c r="K769" s="169">
        <v>2023</v>
      </c>
      <c r="L769" s="1446">
        <v>235032</v>
      </c>
      <c r="M769" s="1446"/>
      <c r="N769" s="170" t="s">
        <v>5835</v>
      </c>
      <c r="O769" s="178" t="s">
        <v>5887</v>
      </c>
      <c r="P769" s="172" t="s">
        <v>78</v>
      </c>
      <c r="Q769" s="173" t="s">
        <v>5884</v>
      </c>
      <c r="R769" s="173" t="s">
        <v>1975</v>
      </c>
      <c r="S769" s="586">
        <v>1060774.83</v>
      </c>
      <c r="T769" s="582">
        <v>45275</v>
      </c>
      <c r="U769" s="176">
        <v>45278</v>
      </c>
      <c r="V769" s="177">
        <v>45322</v>
      </c>
      <c r="W769" s="105">
        <v>45274</v>
      </c>
      <c r="X769" s="1758" t="s">
        <v>5883</v>
      </c>
      <c r="Y769" s="170" t="s">
        <v>69</v>
      </c>
      <c r="Z769" s="1902" t="s">
        <v>73</v>
      </c>
      <c r="AA769" s="1412"/>
      <c r="AB769" s="33" t="s">
        <v>6399</v>
      </c>
      <c r="AC769" s="8">
        <v>45268</v>
      </c>
      <c r="AD769" s="79">
        <v>1081145.33</v>
      </c>
      <c r="AE769" s="4"/>
      <c r="AF769" s="32"/>
      <c r="AG769" s="34" t="s">
        <v>67</v>
      </c>
      <c r="AH769" s="112" t="s">
        <v>67</v>
      </c>
      <c r="AI769" s="112" t="s">
        <v>67</v>
      </c>
      <c r="AJ769" s="7" t="s">
        <v>67</v>
      </c>
      <c r="AK769" s="109" t="s">
        <v>67</v>
      </c>
      <c r="AL769" s="33" t="s">
        <v>6415</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62" t="str">
        <f>O769</f>
        <v>GMJ 032C OP/2023</v>
      </c>
      <c r="BG769" s="71">
        <v>45278</v>
      </c>
      <c r="BH769" s="71">
        <v>45322</v>
      </c>
      <c r="BI769" s="71">
        <v>45321</v>
      </c>
      <c r="BJ769" s="129">
        <f>AT769+AU769-0.01</f>
        <v>1081145.33</v>
      </c>
      <c r="BK769" s="1890">
        <v>45327</v>
      </c>
      <c r="BL769" s="337">
        <v>45688</v>
      </c>
      <c r="BM769" s="337">
        <v>45275</v>
      </c>
      <c r="BN769" s="71">
        <v>45275</v>
      </c>
      <c r="BO769" s="71">
        <v>45275</v>
      </c>
      <c r="BP769" s="924"/>
      <c r="BQ769" s="924">
        <v>45275</v>
      </c>
      <c r="BR769" s="924">
        <v>45275</v>
      </c>
      <c r="BS769" s="924">
        <v>45275</v>
      </c>
      <c r="BT769" s="1289" t="s">
        <v>73</v>
      </c>
      <c r="BU769" s="1289" t="s">
        <v>73</v>
      </c>
      <c r="BV769" s="1757" t="s">
        <v>6520</v>
      </c>
      <c r="BW769" s="923"/>
      <c r="BX769" s="13"/>
      <c r="BY769" s="22"/>
      <c r="BZ769" s="22"/>
      <c r="CA769" s="22"/>
      <c r="CB769" s="22"/>
      <c r="CC769" s="22"/>
      <c r="CD769" s="22"/>
      <c r="CE769" s="1246" t="s">
        <v>3947</v>
      </c>
      <c r="CF769" s="866"/>
    </row>
    <row r="770" spans="1:84" ht="34.5" hidden="1" customHeight="1">
      <c r="A770" s="1467"/>
      <c r="B770" s="22"/>
      <c r="C770" s="22"/>
      <c r="D770" s="22"/>
      <c r="E770" s="921"/>
      <c r="F770" s="921"/>
      <c r="G770" s="925"/>
      <c r="H770" s="1793" t="s">
        <v>67</v>
      </c>
      <c r="I770" s="331"/>
      <c r="J770" s="331"/>
      <c r="K770" s="169">
        <v>2024</v>
      </c>
      <c r="L770" s="1446">
        <v>241001</v>
      </c>
      <c r="M770" s="1446"/>
      <c r="N770" s="170" t="s">
        <v>6588</v>
      </c>
      <c r="O770" s="178" t="s">
        <v>67</v>
      </c>
      <c r="P770" s="172" t="s">
        <v>466</v>
      </c>
      <c r="Q770" s="1215" t="s">
        <v>6589</v>
      </c>
      <c r="R770" s="173" t="s">
        <v>1975</v>
      </c>
      <c r="S770" s="1717"/>
      <c r="T770" s="175" t="s">
        <v>67</v>
      </c>
      <c r="U770" s="176"/>
      <c r="V770" s="177"/>
      <c r="W770" s="2021" t="s">
        <v>1427</v>
      </c>
      <c r="X770" s="1788" t="s">
        <v>67</v>
      </c>
      <c r="Y770" s="1789" t="s">
        <v>67</v>
      </c>
      <c r="Z770" s="1771" t="s">
        <v>67</v>
      </c>
      <c r="AA770" s="1772" t="s">
        <v>67</v>
      </c>
      <c r="AB770" s="33"/>
      <c r="AC770" s="8"/>
      <c r="AD770" s="4"/>
      <c r="AE770" s="4"/>
      <c r="AF770" s="32"/>
      <c r="AG770" s="1773" t="s">
        <v>67</v>
      </c>
      <c r="AH770" s="1774" t="s">
        <v>67</v>
      </c>
      <c r="AI770" s="1774" t="s">
        <v>67</v>
      </c>
      <c r="AJ770" s="1775" t="s">
        <v>67</v>
      </c>
      <c r="AK770" s="1776" t="s">
        <v>67</v>
      </c>
      <c r="AL770" s="1777" t="s">
        <v>67</v>
      </c>
      <c r="AM770" s="1680" t="s">
        <v>67</v>
      </c>
      <c r="AN770" s="1704"/>
      <c r="AO770" s="1680" t="s">
        <v>67</v>
      </c>
      <c r="AP770" s="1704"/>
      <c r="AQ770" s="1680" t="s">
        <v>67</v>
      </c>
      <c r="AR770" s="1704"/>
      <c r="AS770" s="1778"/>
      <c r="AT770" s="1779">
        <v>0</v>
      </c>
      <c r="AU770" s="1780">
        <v>0</v>
      </c>
      <c r="AV770" s="1781">
        <v>0</v>
      </c>
      <c r="AW770" s="1782" t="s">
        <v>67</v>
      </c>
      <c r="AX770" s="1701" t="s">
        <v>67</v>
      </c>
      <c r="AY770" s="1702" t="s">
        <v>67</v>
      </c>
      <c r="AZ770" s="1703" t="s">
        <v>67</v>
      </c>
      <c r="BA770" s="1782" t="s">
        <v>67</v>
      </c>
      <c r="BB770" s="1704"/>
      <c r="BC770" s="1704"/>
      <c r="BD770" s="1701"/>
      <c r="BE770" s="1782" t="s">
        <v>67</v>
      </c>
      <c r="BF770" s="1783" t="s">
        <v>67</v>
      </c>
      <c r="BG770" s="1704"/>
      <c r="BH770" s="1704"/>
      <c r="BI770" s="1704"/>
      <c r="BJ770" s="1706"/>
      <c r="BK770" s="1784" t="s">
        <v>67</v>
      </c>
      <c r="BL770" s="1139"/>
      <c r="BM770" s="1785" t="s">
        <v>67</v>
      </c>
      <c r="BN770" s="1786" t="s">
        <v>67</v>
      </c>
      <c r="BO770" s="1786" t="s">
        <v>67</v>
      </c>
      <c r="BP770" s="1787" t="s">
        <v>67</v>
      </c>
      <c r="BQ770" s="1787" t="s">
        <v>67</v>
      </c>
      <c r="BR770" s="1787" t="s">
        <v>67</v>
      </c>
      <c r="BS770" s="1787" t="s">
        <v>67</v>
      </c>
      <c r="BT770" s="1787" t="s">
        <v>67</v>
      </c>
      <c r="BU770" s="1787" t="s">
        <v>67</v>
      </c>
      <c r="BV770" s="1787" t="s">
        <v>67</v>
      </c>
      <c r="BW770" s="1785" t="s">
        <v>67</v>
      </c>
      <c r="BX770" s="13"/>
      <c r="BY770" s="22"/>
      <c r="BZ770" s="22"/>
      <c r="CA770" s="22"/>
      <c r="CB770" s="22"/>
      <c r="CC770" s="22"/>
      <c r="CD770" s="22"/>
      <c r="CE770" s="1246" t="s">
        <v>3947</v>
      </c>
      <c r="CF770" s="866"/>
    </row>
    <row r="771" spans="1:84" ht="78.75" hidden="1" customHeight="1">
      <c r="A771" s="1467"/>
      <c r="B771" s="22"/>
      <c r="C771" s="22"/>
      <c r="D771" s="22"/>
      <c r="E771" s="921"/>
      <c r="F771" s="921"/>
      <c r="G771" s="925"/>
      <c r="H771" s="1793" t="s">
        <v>67</v>
      </c>
      <c r="I771" s="331"/>
      <c r="J771" s="331"/>
      <c r="K771" s="169">
        <v>2024</v>
      </c>
      <c r="L771" s="1446">
        <v>242001</v>
      </c>
      <c r="M771" s="1446"/>
      <c r="N771" s="170" t="s">
        <v>165</v>
      </c>
      <c r="O771" s="178" t="s">
        <v>6590</v>
      </c>
      <c r="P771" s="172" t="s">
        <v>45</v>
      </c>
      <c r="Q771" s="1491" t="s">
        <v>6645</v>
      </c>
      <c r="R771" s="173" t="s">
        <v>1975</v>
      </c>
      <c r="S771" s="586">
        <f>7950*1.16</f>
        <v>9222</v>
      </c>
      <c r="T771" s="175">
        <v>45293</v>
      </c>
      <c r="U771" s="176">
        <v>45294</v>
      </c>
      <c r="V771" s="177">
        <v>45295</v>
      </c>
      <c r="W771" s="667"/>
      <c r="X771" s="178" t="s">
        <v>6643</v>
      </c>
      <c r="Y771" s="170" t="s">
        <v>6459</v>
      </c>
      <c r="Z771" s="1771" t="s">
        <v>67</v>
      </c>
      <c r="AA771" s="1772" t="s">
        <v>67</v>
      </c>
      <c r="AB771" s="33"/>
      <c r="AC771" s="8"/>
      <c r="AD771" s="4"/>
      <c r="AE771" s="4"/>
      <c r="AF771" s="32"/>
      <c r="AG771" s="1773" t="s">
        <v>67</v>
      </c>
      <c r="AH771" s="1774" t="s">
        <v>67</v>
      </c>
      <c r="AI771" s="1774" t="s">
        <v>67</v>
      </c>
      <c r="AJ771" s="1775" t="s">
        <v>67</v>
      </c>
      <c r="AK771" s="1776" t="s">
        <v>67</v>
      </c>
      <c r="AL771" s="1777" t="s">
        <v>67</v>
      </c>
      <c r="AM771" s="1680" t="s">
        <v>67</v>
      </c>
      <c r="AN771" s="1704"/>
      <c r="AO771" s="1680" t="s">
        <v>67</v>
      </c>
      <c r="AP771" s="1704"/>
      <c r="AQ771" s="1680" t="s">
        <v>67</v>
      </c>
      <c r="AR771" s="1704"/>
      <c r="AS771" s="1778"/>
      <c r="AT771" s="1779">
        <v>0</v>
      </c>
      <c r="AU771" s="1780">
        <v>0</v>
      </c>
      <c r="AV771" s="1781">
        <v>0</v>
      </c>
      <c r="AW771" s="1782" t="s">
        <v>67</v>
      </c>
      <c r="AX771" s="1701" t="s">
        <v>67</v>
      </c>
      <c r="AY771" s="1702" t="s">
        <v>67</v>
      </c>
      <c r="AZ771" s="1703" t="s">
        <v>67</v>
      </c>
      <c r="BA771" s="30" t="s">
        <v>67</v>
      </c>
      <c r="BB771" s="5"/>
      <c r="BC771" s="5"/>
      <c r="BD771" s="11"/>
      <c r="BE771" s="30" t="s">
        <v>67</v>
      </c>
      <c r="BF771" s="310"/>
      <c r="BG771" s="5"/>
      <c r="BH771" s="5"/>
      <c r="BI771" s="5"/>
      <c r="BJ771" s="36"/>
      <c r="BK771" s="1784" t="s">
        <v>67</v>
      </c>
      <c r="BL771" s="1139"/>
      <c r="BM771" s="1785" t="s">
        <v>67</v>
      </c>
      <c r="BN771" s="1786" t="s">
        <v>67</v>
      </c>
      <c r="BO771" s="1786" t="s">
        <v>67</v>
      </c>
      <c r="BP771" s="1787" t="s">
        <v>67</v>
      </c>
      <c r="BQ771" s="1787" t="s">
        <v>67</v>
      </c>
      <c r="BR771" s="1787" t="s">
        <v>67</v>
      </c>
      <c r="BS771" s="1787" t="s">
        <v>67</v>
      </c>
      <c r="BT771" s="1787" t="s">
        <v>67</v>
      </c>
      <c r="BU771" s="1787" t="s">
        <v>67</v>
      </c>
      <c r="BV771" s="1787" t="s">
        <v>67</v>
      </c>
      <c r="BW771" s="1785" t="s">
        <v>67</v>
      </c>
      <c r="BX771" s="13"/>
      <c r="BY771" s="22"/>
      <c r="BZ771" s="22"/>
      <c r="CA771" s="22"/>
      <c r="CB771" s="22"/>
      <c r="CC771" s="22"/>
      <c r="CD771" s="22"/>
      <c r="CE771" s="1246" t="s">
        <v>3947</v>
      </c>
      <c r="CF771" s="866"/>
    </row>
    <row r="772" spans="1:84" ht="105" hidden="1" customHeight="1">
      <c r="A772" s="1467"/>
      <c r="B772" s="22"/>
      <c r="C772" s="22"/>
      <c r="D772" s="22"/>
      <c r="E772" s="921"/>
      <c r="F772" s="921"/>
      <c r="G772" s="925"/>
      <c r="H772" s="1793" t="s">
        <v>67</v>
      </c>
      <c r="I772" s="331"/>
      <c r="J772" s="331"/>
      <c r="K772" s="169">
        <v>2024</v>
      </c>
      <c r="L772" s="1446">
        <v>242002</v>
      </c>
      <c r="M772" s="1446"/>
      <c r="N772" s="170" t="s">
        <v>165</v>
      </c>
      <c r="O772" s="178" t="s">
        <v>6591</v>
      </c>
      <c r="P772" s="172" t="s">
        <v>45</v>
      </c>
      <c r="Q772" s="1491" t="s">
        <v>6646</v>
      </c>
      <c r="R772" s="173" t="s">
        <v>4827</v>
      </c>
      <c r="S772" s="586">
        <f>20000*1.16</f>
        <v>23200</v>
      </c>
      <c r="T772" s="175">
        <v>45293</v>
      </c>
      <c r="U772" s="176">
        <v>45293</v>
      </c>
      <c r="V772" s="177">
        <v>45294</v>
      </c>
      <c r="W772" s="667"/>
      <c r="X772" s="178" t="s">
        <v>2989</v>
      </c>
      <c r="Y772" s="170" t="s">
        <v>6459</v>
      </c>
      <c r="Z772" s="1771" t="s">
        <v>67</v>
      </c>
      <c r="AA772" s="1772" t="s">
        <v>67</v>
      </c>
      <c r="AB772" s="33"/>
      <c r="AC772" s="8"/>
      <c r="AD772" s="4"/>
      <c r="AE772" s="4"/>
      <c r="AF772" s="32"/>
      <c r="AG772" s="1773" t="s">
        <v>67</v>
      </c>
      <c r="AH772" s="1774" t="s">
        <v>67</v>
      </c>
      <c r="AI772" s="1774" t="s">
        <v>67</v>
      </c>
      <c r="AJ772" s="1775" t="s">
        <v>67</v>
      </c>
      <c r="AK772" s="1776" t="s">
        <v>67</v>
      </c>
      <c r="AL772" s="1777" t="s">
        <v>67</v>
      </c>
      <c r="AM772" s="1680" t="s">
        <v>67</v>
      </c>
      <c r="AN772" s="1704"/>
      <c r="AO772" s="1680" t="s">
        <v>67</v>
      </c>
      <c r="AP772" s="1704"/>
      <c r="AQ772" s="1680" t="s">
        <v>67</v>
      </c>
      <c r="AR772" s="1704"/>
      <c r="AS772" s="1778"/>
      <c r="AT772" s="1779">
        <v>0</v>
      </c>
      <c r="AU772" s="1780">
        <v>0</v>
      </c>
      <c r="AV772" s="1781">
        <v>0</v>
      </c>
      <c r="AW772" s="1782" t="s">
        <v>67</v>
      </c>
      <c r="AX772" s="1701" t="s">
        <v>67</v>
      </c>
      <c r="AY772" s="1702" t="s">
        <v>67</v>
      </c>
      <c r="AZ772" s="1703" t="s">
        <v>67</v>
      </c>
      <c r="BA772" s="30" t="s">
        <v>67</v>
      </c>
      <c r="BB772" s="5"/>
      <c r="BC772" s="5"/>
      <c r="BD772" s="11"/>
      <c r="BE772" s="30" t="s">
        <v>67</v>
      </c>
      <c r="BF772" s="310"/>
      <c r="BG772" s="5"/>
      <c r="BH772" s="5"/>
      <c r="BI772" s="5"/>
      <c r="BJ772" s="36"/>
      <c r="BK772" s="1784" t="s">
        <v>67</v>
      </c>
      <c r="BL772" s="1139"/>
      <c r="BM772" s="1785" t="s">
        <v>67</v>
      </c>
      <c r="BN772" s="1786" t="s">
        <v>67</v>
      </c>
      <c r="BO772" s="1786" t="s">
        <v>67</v>
      </c>
      <c r="BP772" s="1787" t="s">
        <v>67</v>
      </c>
      <c r="BQ772" s="1787" t="s">
        <v>67</v>
      </c>
      <c r="BR772" s="1787" t="s">
        <v>67</v>
      </c>
      <c r="BS772" s="1787" t="s">
        <v>67</v>
      </c>
      <c r="BT772" s="1787" t="s">
        <v>67</v>
      </c>
      <c r="BU772" s="1787" t="s">
        <v>67</v>
      </c>
      <c r="BV772" s="1787" t="s">
        <v>67</v>
      </c>
      <c r="BW772" s="1785" t="s">
        <v>67</v>
      </c>
      <c r="BX772" s="13"/>
      <c r="BY772" s="22"/>
      <c r="BZ772" s="22"/>
      <c r="CA772" s="22"/>
      <c r="CB772" s="22"/>
      <c r="CC772" s="22"/>
      <c r="CD772" s="22"/>
      <c r="CE772" s="1246" t="s">
        <v>3947</v>
      </c>
      <c r="CF772" s="866"/>
    </row>
    <row r="773" spans="1:84" ht="69.75" hidden="1" customHeight="1">
      <c r="A773" s="1467"/>
      <c r="B773" s="22"/>
      <c r="C773" s="22"/>
      <c r="D773" s="22"/>
      <c r="E773" s="921"/>
      <c r="F773" s="921"/>
      <c r="G773" s="925"/>
      <c r="H773" s="1793" t="s">
        <v>67</v>
      </c>
      <c r="I773" s="331"/>
      <c r="J773" s="331"/>
      <c r="K773" s="169">
        <v>2024</v>
      </c>
      <c r="L773" s="1446">
        <v>242003</v>
      </c>
      <c r="M773" s="1446"/>
      <c r="N773" s="170" t="s">
        <v>165</v>
      </c>
      <c r="O773" s="178" t="s">
        <v>6592</v>
      </c>
      <c r="P773" s="172" t="s">
        <v>45</v>
      </c>
      <c r="Q773" s="1491" t="s">
        <v>6644</v>
      </c>
      <c r="R773" s="173" t="s">
        <v>2541</v>
      </c>
      <c r="S773" s="586">
        <v>33325.64</v>
      </c>
      <c r="T773" s="175">
        <v>45308</v>
      </c>
      <c r="U773" s="176">
        <v>45309</v>
      </c>
      <c r="V773" s="177">
        <v>45315</v>
      </c>
      <c r="W773" s="667"/>
      <c r="X773" s="178" t="s">
        <v>4453</v>
      </c>
      <c r="Y773" s="170" t="s">
        <v>6459</v>
      </c>
      <c r="Z773" s="1771" t="s">
        <v>67</v>
      </c>
      <c r="AA773" s="1772" t="s">
        <v>67</v>
      </c>
      <c r="AB773" s="33"/>
      <c r="AC773" s="8"/>
      <c r="AD773" s="4"/>
      <c r="AE773" s="4"/>
      <c r="AF773" s="32"/>
      <c r="AG773" s="1773" t="s">
        <v>67</v>
      </c>
      <c r="AH773" s="1774" t="s">
        <v>67</v>
      </c>
      <c r="AI773" s="1774" t="s">
        <v>67</v>
      </c>
      <c r="AJ773" s="1775" t="s">
        <v>67</v>
      </c>
      <c r="AK773" s="1776" t="s">
        <v>67</v>
      </c>
      <c r="AL773" s="1777" t="s">
        <v>67</v>
      </c>
      <c r="AM773" s="1680" t="s">
        <v>67</v>
      </c>
      <c r="AN773" s="1704"/>
      <c r="AO773" s="1680" t="s">
        <v>67</v>
      </c>
      <c r="AP773" s="1704"/>
      <c r="AQ773" s="1680" t="s">
        <v>67</v>
      </c>
      <c r="AR773" s="1704"/>
      <c r="AS773" s="1778"/>
      <c r="AT773" s="1779">
        <v>0</v>
      </c>
      <c r="AU773" s="1780">
        <v>0</v>
      </c>
      <c r="AV773" s="1781">
        <v>0</v>
      </c>
      <c r="AW773" s="1782" t="s">
        <v>67</v>
      </c>
      <c r="AX773" s="1701" t="s">
        <v>67</v>
      </c>
      <c r="AY773" s="1702" t="s">
        <v>67</v>
      </c>
      <c r="AZ773" s="1703" t="s">
        <v>67</v>
      </c>
      <c r="BA773" s="30" t="s">
        <v>67</v>
      </c>
      <c r="BB773" s="5"/>
      <c r="BC773" s="5"/>
      <c r="BD773" s="11"/>
      <c r="BE773" s="30" t="s">
        <v>67</v>
      </c>
      <c r="BF773" s="310"/>
      <c r="BG773" s="5"/>
      <c r="BH773" s="5"/>
      <c r="BI773" s="5"/>
      <c r="BJ773" s="36"/>
      <c r="BK773" s="1784" t="s">
        <v>67</v>
      </c>
      <c r="BL773" s="1139"/>
      <c r="BM773" s="1785" t="s">
        <v>67</v>
      </c>
      <c r="BN773" s="1786" t="s">
        <v>67</v>
      </c>
      <c r="BO773" s="1786" t="s">
        <v>67</v>
      </c>
      <c r="BP773" s="1787" t="s">
        <v>67</v>
      </c>
      <c r="BQ773" s="1787" t="s">
        <v>67</v>
      </c>
      <c r="BR773" s="1787" t="s">
        <v>67</v>
      </c>
      <c r="BS773" s="1787" t="s">
        <v>67</v>
      </c>
      <c r="BT773" s="1787" t="s">
        <v>67</v>
      </c>
      <c r="BU773" s="1787" t="s">
        <v>67</v>
      </c>
      <c r="BV773" s="1787" t="s">
        <v>67</v>
      </c>
      <c r="BW773" s="1785" t="s">
        <v>67</v>
      </c>
      <c r="BX773" s="13"/>
      <c r="BY773" s="22"/>
      <c r="BZ773" s="22"/>
      <c r="CA773" s="22"/>
      <c r="CB773" s="22"/>
      <c r="CC773" s="22"/>
      <c r="CD773" s="22"/>
      <c r="CE773" s="1246" t="s">
        <v>3947</v>
      </c>
      <c r="CF773" s="866"/>
    </row>
    <row r="774" spans="1:84" ht="111" hidden="1" customHeight="1">
      <c r="A774" s="1467"/>
      <c r="B774" s="22"/>
      <c r="C774" s="22"/>
      <c r="D774" s="22"/>
      <c r="E774" s="921"/>
      <c r="F774" s="921"/>
      <c r="G774" s="925"/>
      <c r="H774" s="1793" t="s">
        <v>67</v>
      </c>
      <c r="I774" s="331"/>
      <c r="J774" s="331"/>
      <c r="K774" s="169">
        <v>2024</v>
      </c>
      <c r="L774" s="1446">
        <v>242004</v>
      </c>
      <c r="M774" s="1446"/>
      <c r="N774" s="170" t="s">
        <v>165</v>
      </c>
      <c r="O774" s="178" t="s">
        <v>6593</v>
      </c>
      <c r="P774" s="172" t="s">
        <v>45</v>
      </c>
      <c r="Q774" s="1491" t="s">
        <v>6647</v>
      </c>
      <c r="R774" s="173" t="s">
        <v>1975</v>
      </c>
      <c r="S774" s="586">
        <f>22000*1.16</f>
        <v>25520</v>
      </c>
      <c r="T774" s="175">
        <v>45296</v>
      </c>
      <c r="U774" s="176">
        <v>45299</v>
      </c>
      <c r="V774" s="177">
        <v>45300</v>
      </c>
      <c r="W774" s="667"/>
      <c r="X774" s="178" t="s">
        <v>3963</v>
      </c>
      <c r="Y774" s="170" t="s">
        <v>6459</v>
      </c>
      <c r="Z774" s="1771" t="s">
        <v>67</v>
      </c>
      <c r="AA774" s="1772" t="s">
        <v>67</v>
      </c>
      <c r="AB774" s="33"/>
      <c r="AC774" s="8"/>
      <c r="AD774" s="4"/>
      <c r="AE774" s="4"/>
      <c r="AF774" s="32"/>
      <c r="AG774" s="1773" t="s">
        <v>67</v>
      </c>
      <c r="AH774" s="1774" t="s">
        <v>67</v>
      </c>
      <c r="AI774" s="1774" t="s">
        <v>67</v>
      </c>
      <c r="AJ774" s="1775" t="s">
        <v>67</v>
      </c>
      <c r="AK774" s="1776" t="s">
        <v>67</v>
      </c>
      <c r="AL774" s="1777" t="s">
        <v>67</v>
      </c>
      <c r="AM774" s="1680" t="s">
        <v>67</v>
      </c>
      <c r="AN774" s="1704"/>
      <c r="AO774" s="1680" t="s">
        <v>67</v>
      </c>
      <c r="AP774" s="1704"/>
      <c r="AQ774" s="1680" t="s">
        <v>67</v>
      </c>
      <c r="AR774" s="1704"/>
      <c r="AS774" s="1778"/>
      <c r="AT774" s="1779">
        <v>0</v>
      </c>
      <c r="AU774" s="1780">
        <v>0</v>
      </c>
      <c r="AV774" s="1781">
        <v>0</v>
      </c>
      <c r="AW774" s="1782" t="s">
        <v>67</v>
      </c>
      <c r="AX774" s="1701" t="s">
        <v>67</v>
      </c>
      <c r="AY774" s="1702" t="s">
        <v>67</v>
      </c>
      <c r="AZ774" s="1703" t="s">
        <v>67</v>
      </c>
      <c r="BA774" s="30" t="s">
        <v>67</v>
      </c>
      <c r="BB774" s="5"/>
      <c r="BC774" s="5"/>
      <c r="BD774" s="11"/>
      <c r="BE774" s="30" t="s">
        <v>67</v>
      </c>
      <c r="BF774" s="310"/>
      <c r="BG774" s="5"/>
      <c r="BH774" s="5"/>
      <c r="BI774" s="5"/>
      <c r="BJ774" s="36"/>
      <c r="BK774" s="1784" t="s">
        <v>67</v>
      </c>
      <c r="BL774" s="1139"/>
      <c r="BM774" s="1785" t="s">
        <v>67</v>
      </c>
      <c r="BN774" s="1786" t="s">
        <v>67</v>
      </c>
      <c r="BO774" s="1786" t="s">
        <v>67</v>
      </c>
      <c r="BP774" s="1787" t="s">
        <v>67</v>
      </c>
      <c r="BQ774" s="1787" t="s">
        <v>67</v>
      </c>
      <c r="BR774" s="1787" t="s">
        <v>67</v>
      </c>
      <c r="BS774" s="1787" t="s">
        <v>67</v>
      </c>
      <c r="BT774" s="1787" t="s">
        <v>67</v>
      </c>
      <c r="BU774" s="1787" t="s">
        <v>67</v>
      </c>
      <c r="BV774" s="1787" t="s">
        <v>67</v>
      </c>
      <c r="BW774" s="1785" t="s">
        <v>67</v>
      </c>
      <c r="BX774" s="13"/>
      <c r="BY774" s="22"/>
      <c r="BZ774" s="22"/>
      <c r="CA774" s="22"/>
      <c r="CB774" s="22"/>
      <c r="CC774" s="22"/>
      <c r="CD774" s="22"/>
      <c r="CE774" s="1246" t="s">
        <v>3947</v>
      </c>
      <c r="CF774" s="866"/>
    </row>
    <row r="775" spans="1:84" ht="146.25" hidden="1" customHeight="1">
      <c r="A775" s="1467"/>
      <c r="B775" s="22"/>
      <c r="C775" s="22"/>
      <c r="D775" s="22"/>
      <c r="E775" s="921"/>
      <c r="F775" s="921"/>
      <c r="G775" s="925"/>
      <c r="H775" s="1793" t="s">
        <v>67</v>
      </c>
      <c r="I775" s="331"/>
      <c r="J775" s="331"/>
      <c r="K775" s="169">
        <v>2024</v>
      </c>
      <c r="L775" s="1446">
        <v>242005</v>
      </c>
      <c r="M775" s="1446"/>
      <c r="N775" s="170" t="s">
        <v>165</v>
      </c>
      <c r="O775" s="178" t="s">
        <v>6594</v>
      </c>
      <c r="P775" s="172" t="s">
        <v>45</v>
      </c>
      <c r="Q775" s="1491" t="s">
        <v>6648</v>
      </c>
      <c r="R775" s="173" t="s">
        <v>2580</v>
      </c>
      <c r="S775" s="586">
        <f>60000*1.16</f>
        <v>69600</v>
      </c>
      <c r="T775" s="175">
        <v>45348</v>
      </c>
      <c r="U775" s="176">
        <v>45349</v>
      </c>
      <c r="V775" s="177">
        <v>45352</v>
      </c>
      <c r="W775" s="667"/>
      <c r="X775" s="178" t="s">
        <v>2989</v>
      </c>
      <c r="Y775" s="170" t="s">
        <v>6459</v>
      </c>
      <c r="Z775" s="1771" t="s">
        <v>67</v>
      </c>
      <c r="AA775" s="1772" t="s">
        <v>67</v>
      </c>
      <c r="AB775" s="33"/>
      <c r="AC775" s="8"/>
      <c r="AD775" s="4"/>
      <c r="AE775" s="4"/>
      <c r="AF775" s="32"/>
      <c r="AG775" s="1773" t="s">
        <v>67</v>
      </c>
      <c r="AH775" s="1774" t="s">
        <v>67</v>
      </c>
      <c r="AI775" s="1774" t="s">
        <v>67</v>
      </c>
      <c r="AJ775" s="1775" t="s">
        <v>67</v>
      </c>
      <c r="AK775" s="1776" t="s">
        <v>67</v>
      </c>
      <c r="AL775" s="1777" t="s">
        <v>67</v>
      </c>
      <c r="AM775" s="1680" t="s">
        <v>67</v>
      </c>
      <c r="AN775" s="1704"/>
      <c r="AO775" s="1680" t="s">
        <v>67</v>
      </c>
      <c r="AP775" s="1704"/>
      <c r="AQ775" s="1680" t="s">
        <v>67</v>
      </c>
      <c r="AR775" s="1704"/>
      <c r="AS775" s="1778"/>
      <c r="AT775" s="1779">
        <v>0</v>
      </c>
      <c r="AU775" s="1780">
        <v>0</v>
      </c>
      <c r="AV775" s="1781">
        <v>0</v>
      </c>
      <c r="AW775" s="1782" t="s">
        <v>67</v>
      </c>
      <c r="AX775" s="1701" t="s">
        <v>67</v>
      </c>
      <c r="AY775" s="1702" t="s">
        <v>67</v>
      </c>
      <c r="AZ775" s="1703" t="s">
        <v>67</v>
      </c>
      <c r="BA775" s="30" t="s">
        <v>67</v>
      </c>
      <c r="BB775" s="5"/>
      <c r="BC775" s="5"/>
      <c r="BD775" s="11"/>
      <c r="BE775" s="30" t="s">
        <v>67</v>
      </c>
      <c r="BF775" s="310"/>
      <c r="BG775" s="5"/>
      <c r="BH775" s="5"/>
      <c r="BI775" s="5"/>
      <c r="BJ775" s="36"/>
      <c r="BK775" s="1784" t="s">
        <v>67</v>
      </c>
      <c r="BL775" s="1139"/>
      <c r="BM775" s="1785" t="s">
        <v>67</v>
      </c>
      <c r="BN775" s="1786" t="s">
        <v>67</v>
      </c>
      <c r="BO775" s="1786" t="s">
        <v>67</v>
      </c>
      <c r="BP775" s="1787" t="s">
        <v>67</v>
      </c>
      <c r="BQ775" s="1787" t="s">
        <v>67</v>
      </c>
      <c r="BR775" s="1787" t="s">
        <v>67</v>
      </c>
      <c r="BS775" s="1787" t="s">
        <v>67</v>
      </c>
      <c r="BT775" s="1787" t="s">
        <v>67</v>
      </c>
      <c r="BU775" s="1787" t="s">
        <v>67</v>
      </c>
      <c r="BV775" s="1787" t="s">
        <v>67</v>
      </c>
      <c r="BW775" s="1785" t="s">
        <v>67</v>
      </c>
      <c r="BX775" s="13"/>
      <c r="BY775" s="22"/>
      <c r="BZ775" s="22"/>
      <c r="CA775" s="22"/>
      <c r="CB775" s="22"/>
      <c r="CC775" s="22"/>
      <c r="CD775" s="22"/>
      <c r="CE775" s="1246" t="s">
        <v>3947</v>
      </c>
      <c r="CF775" s="866"/>
    </row>
    <row r="776" spans="1:84" ht="72" hidden="1" customHeight="1">
      <c r="A776" s="1467"/>
      <c r="B776" s="22"/>
      <c r="C776" s="22"/>
      <c r="D776" s="22"/>
      <c r="E776" s="921"/>
      <c r="F776" s="921"/>
      <c r="G776" s="925"/>
      <c r="H776" s="1793" t="s">
        <v>67</v>
      </c>
      <c r="I776" s="331"/>
      <c r="J776" s="331"/>
      <c r="K776" s="169">
        <v>2024</v>
      </c>
      <c r="L776" s="1446">
        <v>242006</v>
      </c>
      <c r="M776" s="1446"/>
      <c r="N776" s="170" t="s">
        <v>165</v>
      </c>
      <c r="O776" s="178" t="s">
        <v>6595</v>
      </c>
      <c r="P776" s="172" t="s">
        <v>45</v>
      </c>
      <c r="Q776" s="1491" t="s">
        <v>6649</v>
      </c>
      <c r="R776" s="173" t="s">
        <v>1975</v>
      </c>
      <c r="S776" s="586">
        <f>7800*1.16</f>
        <v>9048</v>
      </c>
      <c r="T776" s="175">
        <v>45362</v>
      </c>
      <c r="U776" s="176">
        <v>45363</v>
      </c>
      <c r="V776" s="177">
        <v>45365</v>
      </c>
      <c r="W776" s="667"/>
      <c r="X776" s="178" t="s">
        <v>4453</v>
      </c>
      <c r="Y776" s="170" t="s">
        <v>6459</v>
      </c>
      <c r="Z776" s="1771" t="s">
        <v>67</v>
      </c>
      <c r="AA776" s="1772" t="s">
        <v>67</v>
      </c>
      <c r="AB776" s="33"/>
      <c r="AC776" s="8"/>
      <c r="AD776" s="4"/>
      <c r="AE776" s="4"/>
      <c r="AF776" s="32"/>
      <c r="AG776" s="1773" t="s">
        <v>67</v>
      </c>
      <c r="AH776" s="1774" t="s">
        <v>67</v>
      </c>
      <c r="AI776" s="1774" t="s">
        <v>67</v>
      </c>
      <c r="AJ776" s="1775" t="s">
        <v>67</v>
      </c>
      <c r="AK776" s="1776" t="s">
        <v>67</v>
      </c>
      <c r="AL776" s="1777" t="s">
        <v>67</v>
      </c>
      <c r="AM776" s="1680" t="s">
        <v>67</v>
      </c>
      <c r="AN776" s="1704"/>
      <c r="AO776" s="1680" t="s">
        <v>67</v>
      </c>
      <c r="AP776" s="1704"/>
      <c r="AQ776" s="1680" t="s">
        <v>67</v>
      </c>
      <c r="AR776" s="1704"/>
      <c r="AS776" s="1778"/>
      <c r="AT776" s="1779">
        <v>0</v>
      </c>
      <c r="AU776" s="1780">
        <v>0</v>
      </c>
      <c r="AV776" s="1781">
        <v>0</v>
      </c>
      <c r="AW776" s="1782" t="s">
        <v>67</v>
      </c>
      <c r="AX776" s="1701" t="s">
        <v>67</v>
      </c>
      <c r="AY776" s="1702" t="s">
        <v>67</v>
      </c>
      <c r="AZ776" s="1703" t="s">
        <v>67</v>
      </c>
      <c r="BA776" s="30" t="s">
        <v>67</v>
      </c>
      <c r="BB776" s="5"/>
      <c r="BC776" s="5"/>
      <c r="BD776" s="11"/>
      <c r="BE776" s="30" t="s">
        <v>67</v>
      </c>
      <c r="BF776" s="310"/>
      <c r="BG776" s="5"/>
      <c r="BH776" s="5"/>
      <c r="BI776" s="5"/>
      <c r="BJ776" s="36"/>
      <c r="BK776" s="1784" t="s">
        <v>67</v>
      </c>
      <c r="BL776" s="1139"/>
      <c r="BM776" s="1785" t="s">
        <v>67</v>
      </c>
      <c r="BN776" s="1786" t="s">
        <v>67</v>
      </c>
      <c r="BO776" s="1786" t="s">
        <v>67</v>
      </c>
      <c r="BP776" s="1787" t="s">
        <v>67</v>
      </c>
      <c r="BQ776" s="1787" t="s">
        <v>67</v>
      </c>
      <c r="BR776" s="1787" t="s">
        <v>67</v>
      </c>
      <c r="BS776" s="1787" t="s">
        <v>67</v>
      </c>
      <c r="BT776" s="1787" t="s">
        <v>67</v>
      </c>
      <c r="BU776" s="1787" t="s">
        <v>67</v>
      </c>
      <c r="BV776" s="1787" t="s">
        <v>67</v>
      </c>
      <c r="BW776" s="1785" t="s">
        <v>67</v>
      </c>
      <c r="BX776" s="13"/>
      <c r="BY776" s="22"/>
      <c r="BZ776" s="22"/>
      <c r="CA776" s="22"/>
      <c r="CB776" s="22"/>
      <c r="CC776" s="22"/>
      <c r="CD776" s="22"/>
      <c r="CE776" s="1246" t="s">
        <v>3947</v>
      </c>
      <c r="CF776" s="866"/>
    </row>
    <row r="777" spans="1:84" ht="217.5" hidden="1" customHeight="1">
      <c r="A777" s="1467"/>
      <c r="B777" s="22"/>
      <c r="C777" s="22"/>
      <c r="D777" s="22"/>
      <c r="E777" s="921"/>
      <c r="F777" s="921"/>
      <c r="G777" s="925"/>
      <c r="H777" s="1793" t="s">
        <v>67</v>
      </c>
      <c r="I777" s="331"/>
      <c r="J777" s="331"/>
      <c r="K777" s="169">
        <v>2024</v>
      </c>
      <c r="L777" s="1446">
        <v>242007</v>
      </c>
      <c r="M777" s="1446"/>
      <c r="N777" s="170" t="s">
        <v>165</v>
      </c>
      <c r="O777" s="178" t="s">
        <v>6596</v>
      </c>
      <c r="P777" s="172" t="s">
        <v>45</v>
      </c>
      <c r="Q777" s="1491" t="s">
        <v>6650</v>
      </c>
      <c r="R777" s="173" t="s">
        <v>6660</v>
      </c>
      <c r="S777" s="586">
        <f>5000*1.16</f>
        <v>5800</v>
      </c>
      <c r="T777" s="175">
        <v>45363</v>
      </c>
      <c r="U777" s="176">
        <v>45365</v>
      </c>
      <c r="V777" s="177">
        <v>45365</v>
      </c>
      <c r="W777" s="667"/>
      <c r="X777" s="178" t="s">
        <v>6651</v>
      </c>
      <c r="Y777" s="170" t="s">
        <v>6459</v>
      </c>
      <c r="Z777" s="1771" t="s">
        <v>67</v>
      </c>
      <c r="AA777" s="1772" t="s">
        <v>67</v>
      </c>
      <c r="AB777" s="33"/>
      <c r="AC777" s="8"/>
      <c r="AD777" s="4"/>
      <c r="AE777" s="4"/>
      <c r="AF777" s="32"/>
      <c r="AG777" s="1773" t="s">
        <v>67</v>
      </c>
      <c r="AH777" s="1774" t="s">
        <v>67</v>
      </c>
      <c r="AI777" s="1774" t="s">
        <v>67</v>
      </c>
      <c r="AJ777" s="1775" t="s">
        <v>67</v>
      </c>
      <c r="AK777" s="1776" t="s">
        <v>67</v>
      </c>
      <c r="AL777" s="1777" t="s">
        <v>67</v>
      </c>
      <c r="AM777" s="1680" t="s">
        <v>67</v>
      </c>
      <c r="AN777" s="1704"/>
      <c r="AO777" s="1680" t="s">
        <v>67</v>
      </c>
      <c r="AP777" s="1704"/>
      <c r="AQ777" s="1680" t="s">
        <v>67</v>
      </c>
      <c r="AR777" s="1704"/>
      <c r="AS777" s="1778"/>
      <c r="AT777" s="1779">
        <v>0</v>
      </c>
      <c r="AU777" s="1780">
        <v>0</v>
      </c>
      <c r="AV777" s="1781">
        <v>0</v>
      </c>
      <c r="AW777" s="1782" t="s">
        <v>67</v>
      </c>
      <c r="AX777" s="1701" t="s">
        <v>67</v>
      </c>
      <c r="AY777" s="1702" t="s">
        <v>67</v>
      </c>
      <c r="AZ777" s="1703" t="s">
        <v>67</v>
      </c>
      <c r="BA777" s="30" t="s">
        <v>67</v>
      </c>
      <c r="BB777" s="5"/>
      <c r="BC777" s="5"/>
      <c r="BD777" s="11"/>
      <c r="BE777" s="30" t="s">
        <v>67</v>
      </c>
      <c r="BF777" s="310"/>
      <c r="BG777" s="5"/>
      <c r="BH777" s="5"/>
      <c r="BI777" s="5"/>
      <c r="BJ777" s="36"/>
      <c r="BK777" s="1784" t="s">
        <v>67</v>
      </c>
      <c r="BL777" s="1139"/>
      <c r="BM777" s="1785" t="s">
        <v>67</v>
      </c>
      <c r="BN777" s="1786" t="s">
        <v>67</v>
      </c>
      <c r="BO777" s="1786" t="s">
        <v>67</v>
      </c>
      <c r="BP777" s="1787" t="s">
        <v>67</v>
      </c>
      <c r="BQ777" s="1787" t="s">
        <v>67</v>
      </c>
      <c r="BR777" s="1787" t="s">
        <v>67</v>
      </c>
      <c r="BS777" s="1787" t="s">
        <v>67</v>
      </c>
      <c r="BT777" s="1787" t="s">
        <v>67</v>
      </c>
      <c r="BU777" s="1787" t="s">
        <v>67</v>
      </c>
      <c r="BV777" s="1787" t="s">
        <v>67</v>
      </c>
      <c r="BW777" s="1785" t="s">
        <v>67</v>
      </c>
      <c r="BX777" s="13"/>
      <c r="BY777" s="22"/>
      <c r="BZ777" s="22"/>
      <c r="CA777" s="22"/>
      <c r="CB777" s="22"/>
      <c r="CC777" s="22"/>
      <c r="CD777" s="22"/>
      <c r="CE777" s="1246" t="s">
        <v>3947</v>
      </c>
      <c r="CF777" s="866"/>
    </row>
    <row r="778" spans="1:84" ht="128.25" hidden="1" customHeight="1">
      <c r="A778" s="1467"/>
      <c r="B778" s="22"/>
      <c r="C778" s="22"/>
      <c r="D778" s="22"/>
      <c r="E778" s="921"/>
      <c r="F778" s="921"/>
      <c r="G778" s="925"/>
      <c r="H778" s="1793" t="s">
        <v>67</v>
      </c>
      <c r="I778" s="331"/>
      <c r="J778" s="331"/>
      <c r="K778" s="169">
        <v>2024</v>
      </c>
      <c r="L778" s="1446">
        <v>242008</v>
      </c>
      <c r="M778" s="1446"/>
      <c r="N778" s="170" t="s">
        <v>165</v>
      </c>
      <c r="O778" s="178" t="s">
        <v>6597</v>
      </c>
      <c r="P778" s="172" t="s">
        <v>45</v>
      </c>
      <c r="Q778" s="1491" t="s">
        <v>6652</v>
      </c>
      <c r="R778" s="173" t="s">
        <v>4413</v>
      </c>
      <c r="S778" s="586">
        <f>66850*1.16</f>
        <v>77546</v>
      </c>
      <c r="T778" s="175">
        <v>45362</v>
      </c>
      <c r="U778" s="176">
        <v>45363</v>
      </c>
      <c r="V778" s="177">
        <v>45364</v>
      </c>
      <c r="W778" s="667"/>
      <c r="X778" s="178" t="s">
        <v>3963</v>
      </c>
      <c r="Y778" s="170" t="s">
        <v>6459</v>
      </c>
      <c r="Z778" s="1771" t="s">
        <v>67</v>
      </c>
      <c r="AA778" s="1772" t="s">
        <v>67</v>
      </c>
      <c r="AB778" s="33"/>
      <c r="AC778" s="8"/>
      <c r="AD778" s="4"/>
      <c r="AE778" s="4"/>
      <c r="AF778" s="32"/>
      <c r="AG778" s="1773" t="s">
        <v>67</v>
      </c>
      <c r="AH778" s="1774" t="s">
        <v>67</v>
      </c>
      <c r="AI778" s="1774" t="s">
        <v>67</v>
      </c>
      <c r="AJ778" s="1775" t="s">
        <v>67</v>
      </c>
      <c r="AK778" s="1776" t="s">
        <v>67</v>
      </c>
      <c r="AL778" s="1777" t="s">
        <v>67</v>
      </c>
      <c r="AM778" s="1680" t="s">
        <v>67</v>
      </c>
      <c r="AN778" s="1704"/>
      <c r="AO778" s="1680" t="s">
        <v>67</v>
      </c>
      <c r="AP778" s="1704"/>
      <c r="AQ778" s="1680" t="s">
        <v>67</v>
      </c>
      <c r="AR778" s="1704"/>
      <c r="AS778" s="1778"/>
      <c r="AT778" s="1779">
        <v>0</v>
      </c>
      <c r="AU778" s="1780">
        <v>0</v>
      </c>
      <c r="AV778" s="1781">
        <v>0</v>
      </c>
      <c r="AW778" s="1782" t="s">
        <v>67</v>
      </c>
      <c r="AX778" s="1701" t="s">
        <v>67</v>
      </c>
      <c r="AY778" s="1702" t="s">
        <v>67</v>
      </c>
      <c r="AZ778" s="1703" t="s">
        <v>67</v>
      </c>
      <c r="BA778" s="30" t="s">
        <v>67</v>
      </c>
      <c r="BB778" s="5"/>
      <c r="BC778" s="5"/>
      <c r="BD778" s="11"/>
      <c r="BE778" s="30" t="s">
        <v>67</v>
      </c>
      <c r="BF778" s="310"/>
      <c r="BG778" s="5"/>
      <c r="BH778" s="5"/>
      <c r="BI778" s="5"/>
      <c r="BJ778" s="36"/>
      <c r="BK778" s="1784" t="s">
        <v>67</v>
      </c>
      <c r="BL778" s="1139"/>
      <c r="BM778" s="1785" t="s">
        <v>67</v>
      </c>
      <c r="BN778" s="1786" t="s">
        <v>67</v>
      </c>
      <c r="BO778" s="1786" t="s">
        <v>67</v>
      </c>
      <c r="BP778" s="1787" t="s">
        <v>67</v>
      </c>
      <c r="BQ778" s="1787" t="s">
        <v>67</v>
      </c>
      <c r="BR778" s="1787" t="s">
        <v>67</v>
      </c>
      <c r="BS778" s="1787" t="s">
        <v>67</v>
      </c>
      <c r="BT778" s="1787" t="s">
        <v>67</v>
      </c>
      <c r="BU778" s="1787" t="s">
        <v>67</v>
      </c>
      <c r="BV778" s="1787" t="s">
        <v>67</v>
      </c>
      <c r="BW778" s="1785" t="s">
        <v>67</v>
      </c>
      <c r="BX778" s="13"/>
      <c r="BY778" s="22"/>
      <c r="BZ778" s="22"/>
      <c r="CA778" s="22"/>
      <c r="CB778" s="22"/>
      <c r="CC778" s="22"/>
      <c r="CD778" s="22"/>
      <c r="CE778" s="1246" t="s">
        <v>3947</v>
      </c>
      <c r="CF778" s="866"/>
    </row>
    <row r="779" spans="1:84" ht="93.75" hidden="1" customHeight="1">
      <c r="A779" s="1467"/>
      <c r="B779" s="22"/>
      <c r="C779" s="22"/>
      <c r="D779" s="22"/>
      <c r="E779" s="921"/>
      <c r="F779" s="921"/>
      <c r="G779" s="925"/>
      <c r="H779" s="1793" t="s">
        <v>67</v>
      </c>
      <c r="I779" s="331"/>
      <c r="J779" s="331"/>
      <c r="K779" s="169">
        <v>2024</v>
      </c>
      <c r="L779" s="1446">
        <v>242009</v>
      </c>
      <c r="M779" s="1446"/>
      <c r="N779" s="170" t="s">
        <v>165</v>
      </c>
      <c r="O779" s="178" t="s">
        <v>6598</v>
      </c>
      <c r="P779" s="172" t="s">
        <v>45</v>
      </c>
      <c r="Q779" s="1491" t="s">
        <v>6722</v>
      </c>
      <c r="R779" s="173" t="s">
        <v>4413</v>
      </c>
      <c r="S779" s="586">
        <f>53000*1.16</f>
        <v>61479.999999999993</v>
      </c>
      <c r="T779" s="582">
        <v>45369</v>
      </c>
      <c r="U779" s="176">
        <v>45370</v>
      </c>
      <c r="V779" s="177">
        <v>45372</v>
      </c>
      <c r="W779" s="667"/>
      <c r="X779" s="178" t="s">
        <v>738</v>
      </c>
      <c r="Y779" s="170" t="s">
        <v>6459</v>
      </c>
      <c r="Z779" s="1771" t="s">
        <v>67</v>
      </c>
      <c r="AA779" s="1772" t="s">
        <v>67</v>
      </c>
      <c r="AB779" s="33"/>
      <c r="AC779" s="8"/>
      <c r="AD779" s="4"/>
      <c r="AE779" s="4"/>
      <c r="AF779" s="32"/>
      <c r="AG779" s="1773" t="s">
        <v>67</v>
      </c>
      <c r="AH779" s="1774" t="s">
        <v>67</v>
      </c>
      <c r="AI779" s="1774" t="s">
        <v>67</v>
      </c>
      <c r="AJ779" s="1775" t="s">
        <v>67</v>
      </c>
      <c r="AK779" s="1776" t="s">
        <v>67</v>
      </c>
      <c r="AL779" s="1777" t="s">
        <v>67</v>
      </c>
      <c r="AM779" s="1680" t="s">
        <v>67</v>
      </c>
      <c r="AN779" s="1704"/>
      <c r="AO779" s="1680" t="s">
        <v>67</v>
      </c>
      <c r="AP779" s="1704"/>
      <c r="AQ779" s="1680" t="s">
        <v>67</v>
      </c>
      <c r="AR779" s="1704"/>
      <c r="AS779" s="1778"/>
      <c r="AT779" s="1779">
        <v>0</v>
      </c>
      <c r="AU779" s="1780">
        <v>0</v>
      </c>
      <c r="AV779" s="1781">
        <v>0</v>
      </c>
      <c r="AW779" s="1782" t="s">
        <v>67</v>
      </c>
      <c r="AX779" s="1701" t="s">
        <v>67</v>
      </c>
      <c r="AY779" s="1702" t="s">
        <v>67</v>
      </c>
      <c r="AZ779" s="1703" t="s">
        <v>67</v>
      </c>
      <c r="BA779" s="30" t="s">
        <v>67</v>
      </c>
      <c r="BB779" s="5"/>
      <c r="BC779" s="5"/>
      <c r="BD779" s="11"/>
      <c r="BE779" s="30" t="s">
        <v>67</v>
      </c>
      <c r="BF779" s="310"/>
      <c r="BG779" s="5"/>
      <c r="BH779" s="5"/>
      <c r="BI779" s="5"/>
      <c r="BJ779" s="36"/>
      <c r="BK779" s="1784" t="s">
        <v>67</v>
      </c>
      <c r="BL779" s="1139"/>
      <c r="BM779" s="1785" t="s">
        <v>67</v>
      </c>
      <c r="BN779" s="1786" t="s">
        <v>67</v>
      </c>
      <c r="BO779" s="1786" t="s">
        <v>67</v>
      </c>
      <c r="BP779" s="1787" t="s">
        <v>67</v>
      </c>
      <c r="BQ779" s="1787" t="s">
        <v>67</v>
      </c>
      <c r="BR779" s="1787" t="s">
        <v>67</v>
      </c>
      <c r="BS779" s="1787" t="s">
        <v>67</v>
      </c>
      <c r="BT779" s="1787" t="s">
        <v>67</v>
      </c>
      <c r="BU779" s="1787" t="s">
        <v>67</v>
      </c>
      <c r="BV779" s="1787" t="s">
        <v>67</v>
      </c>
      <c r="BW779" s="1785" t="s">
        <v>67</v>
      </c>
      <c r="BX779" s="13"/>
      <c r="BY779" s="22"/>
      <c r="BZ779" s="22"/>
      <c r="CA779" s="22"/>
      <c r="CB779" s="22"/>
      <c r="CC779" s="22"/>
      <c r="CD779" s="22"/>
      <c r="CE779" s="1246" t="s">
        <v>3947</v>
      </c>
      <c r="CF779" s="866"/>
    </row>
    <row r="780" spans="1:84" ht="86.25" hidden="1" customHeight="1">
      <c r="A780" s="1467"/>
      <c r="B780" s="22"/>
      <c r="C780" s="22"/>
      <c r="D780" s="22"/>
      <c r="E780" s="921"/>
      <c r="F780" s="921"/>
      <c r="G780" s="925"/>
      <c r="H780" s="1793" t="s">
        <v>67</v>
      </c>
      <c r="I780" s="331"/>
      <c r="J780" s="331"/>
      <c r="K780" s="169">
        <v>2024</v>
      </c>
      <c r="L780" s="1446">
        <v>242010</v>
      </c>
      <c r="M780" s="1446"/>
      <c r="N780" s="170" t="s">
        <v>165</v>
      </c>
      <c r="O780" s="178" t="s">
        <v>6599</v>
      </c>
      <c r="P780" s="172" t="s">
        <v>45</v>
      </c>
      <c r="Q780" s="1491" t="s">
        <v>6653</v>
      </c>
      <c r="R780" s="173" t="s">
        <v>4412</v>
      </c>
      <c r="S780" s="586">
        <f>41313*1.16</f>
        <v>47923.079999999994</v>
      </c>
      <c r="T780" s="582">
        <v>45370</v>
      </c>
      <c r="U780" s="176">
        <v>45372</v>
      </c>
      <c r="V780" s="177">
        <v>45376</v>
      </c>
      <c r="W780" s="667"/>
      <c r="X780" s="178" t="s">
        <v>6654</v>
      </c>
      <c r="Y780" s="170" t="s">
        <v>6459</v>
      </c>
      <c r="Z780" s="1771" t="s">
        <v>67</v>
      </c>
      <c r="AA780" s="1772" t="s">
        <v>67</v>
      </c>
      <c r="AB780" s="33"/>
      <c r="AC780" s="8"/>
      <c r="AD780" s="4"/>
      <c r="AE780" s="4"/>
      <c r="AF780" s="32"/>
      <c r="AG780" s="1773" t="s">
        <v>67</v>
      </c>
      <c r="AH780" s="1774" t="s">
        <v>67</v>
      </c>
      <c r="AI780" s="1774" t="s">
        <v>67</v>
      </c>
      <c r="AJ780" s="1775" t="s">
        <v>67</v>
      </c>
      <c r="AK780" s="1776" t="s">
        <v>67</v>
      </c>
      <c r="AL780" s="1777" t="s">
        <v>67</v>
      </c>
      <c r="AM780" s="1680" t="s">
        <v>67</v>
      </c>
      <c r="AN780" s="1704"/>
      <c r="AO780" s="1680" t="s">
        <v>67</v>
      </c>
      <c r="AP780" s="1704"/>
      <c r="AQ780" s="1680" t="s">
        <v>67</v>
      </c>
      <c r="AR780" s="1704"/>
      <c r="AS780" s="1778"/>
      <c r="AT780" s="1779">
        <v>0</v>
      </c>
      <c r="AU780" s="1780">
        <v>0</v>
      </c>
      <c r="AV780" s="1781">
        <v>0</v>
      </c>
      <c r="AW780" s="1782" t="s">
        <v>67</v>
      </c>
      <c r="AX780" s="1701" t="s">
        <v>67</v>
      </c>
      <c r="AY780" s="1702" t="s">
        <v>67</v>
      </c>
      <c r="AZ780" s="1703" t="s">
        <v>67</v>
      </c>
      <c r="BA780" s="30" t="s">
        <v>67</v>
      </c>
      <c r="BB780" s="5"/>
      <c r="BC780" s="5"/>
      <c r="BD780" s="11"/>
      <c r="BE780" s="30" t="s">
        <v>67</v>
      </c>
      <c r="BF780" s="310"/>
      <c r="BG780" s="5"/>
      <c r="BH780" s="5"/>
      <c r="BI780" s="5"/>
      <c r="BJ780" s="36"/>
      <c r="BK780" s="1784" t="s">
        <v>67</v>
      </c>
      <c r="BL780" s="1139"/>
      <c r="BM780" s="1785" t="s">
        <v>67</v>
      </c>
      <c r="BN780" s="1786" t="s">
        <v>67</v>
      </c>
      <c r="BO780" s="1786" t="s">
        <v>67</v>
      </c>
      <c r="BP780" s="1787" t="s">
        <v>67</v>
      </c>
      <c r="BQ780" s="1787" t="s">
        <v>67</v>
      </c>
      <c r="BR780" s="1787" t="s">
        <v>67</v>
      </c>
      <c r="BS780" s="1787" t="s">
        <v>67</v>
      </c>
      <c r="BT780" s="1787" t="s">
        <v>67</v>
      </c>
      <c r="BU780" s="1787" t="s">
        <v>67</v>
      </c>
      <c r="BV780" s="1787" t="s">
        <v>67</v>
      </c>
      <c r="BW780" s="1785" t="s">
        <v>67</v>
      </c>
      <c r="BX780" s="13"/>
      <c r="BY780" s="22"/>
      <c r="BZ780" s="22"/>
      <c r="CA780" s="22"/>
      <c r="CB780" s="22"/>
      <c r="CC780" s="22"/>
      <c r="CD780" s="22"/>
      <c r="CE780" s="1246" t="s">
        <v>3947</v>
      </c>
      <c r="CF780" s="866"/>
    </row>
    <row r="781" spans="1:84" ht="213" hidden="1" customHeight="1">
      <c r="A781" s="1467"/>
      <c r="B781" s="22"/>
      <c r="C781" s="22"/>
      <c r="D781" s="22"/>
      <c r="E781" s="921"/>
      <c r="F781" s="921"/>
      <c r="G781" s="925"/>
      <c r="H781" s="1793"/>
      <c r="I781" s="331"/>
      <c r="J781" s="331"/>
      <c r="K781" s="169">
        <v>2024</v>
      </c>
      <c r="L781" s="1446">
        <v>242010</v>
      </c>
      <c r="M781" s="1446"/>
      <c r="N781" s="170" t="s">
        <v>165</v>
      </c>
      <c r="O781" s="178" t="s">
        <v>6600</v>
      </c>
      <c r="P781" s="172" t="s">
        <v>45</v>
      </c>
      <c r="Q781" s="1491" t="s">
        <v>6655</v>
      </c>
      <c r="R781" s="173" t="s">
        <v>2541</v>
      </c>
      <c r="S781" s="586">
        <f>83800*1.16</f>
        <v>97208</v>
      </c>
      <c r="T781" s="582">
        <v>45383</v>
      </c>
      <c r="U781" s="176">
        <v>45384</v>
      </c>
      <c r="V781" s="177">
        <v>45386</v>
      </c>
      <c r="W781" s="667"/>
      <c r="X781" s="178" t="s">
        <v>3963</v>
      </c>
      <c r="Y781" s="170" t="s">
        <v>6459</v>
      </c>
      <c r="Z781" s="1771" t="s">
        <v>67</v>
      </c>
      <c r="AA781" s="1772" t="s">
        <v>67</v>
      </c>
      <c r="AB781" s="33"/>
      <c r="AC781" s="8"/>
      <c r="AD781" s="4"/>
      <c r="AE781" s="4"/>
      <c r="AF781" s="32"/>
      <c r="AG781" s="1773" t="s">
        <v>67</v>
      </c>
      <c r="AH781" s="1774" t="s">
        <v>67</v>
      </c>
      <c r="AI781" s="1774" t="s">
        <v>67</v>
      </c>
      <c r="AJ781" s="1775" t="s">
        <v>67</v>
      </c>
      <c r="AK781" s="1776" t="s">
        <v>67</v>
      </c>
      <c r="AL781" s="1777" t="s">
        <v>67</v>
      </c>
      <c r="AM781" s="1680" t="s">
        <v>67</v>
      </c>
      <c r="AN781" s="1704"/>
      <c r="AO781" s="1680" t="s">
        <v>67</v>
      </c>
      <c r="AP781" s="1704"/>
      <c r="AQ781" s="1680" t="s">
        <v>67</v>
      </c>
      <c r="AR781" s="1704"/>
      <c r="AS781" s="1778"/>
      <c r="AT781" s="1779">
        <v>0</v>
      </c>
      <c r="AU781" s="1780">
        <v>0</v>
      </c>
      <c r="AV781" s="1781">
        <v>0</v>
      </c>
      <c r="AW781" s="1782" t="s">
        <v>67</v>
      </c>
      <c r="AX781" s="1701" t="s">
        <v>67</v>
      </c>
      <c r="AY781" s="1702" t="s">
        <v>67</v>
      </c>
      <c r="AZ781" s="1703" t="s">
        <v>67</v>
      </c>
      <c r="BA781" s="30" t="s">
        <v>67</v>
      </c>
      <c r="BB781" s="5"/>
      <c r="BC781" s="5"/>
      <c r="BD781" s="11"/>
      <c r="BE781" s="30" t="s">
        <v>67</v>
      </c>
      <c r="BF781" s="310"/>
      <c r="BG781" s="5"/>
      <c r="BH781" s="5"/>
      <c r="BI781" s="5"/>
      <c r="BJ781" s="36"/>
      <c r="BK781" s="1784" t="s">
        <v>67</v>
      </c>
      <c r="BL781" s="1139"/>
      <c r="BM781" s="1785" t="s">
        <v>67</v>
      </c>
      <c r="BN781" s="1786" t="s">
        <v>67</v>
      </c>
      <c r="BO781" s="1786" t="s">
        <v>67</v>
      </c>
      <c r="BP781" s="1787" t="s">
        <v>67</v>
      </c>
      <c r="BQ781" s="1787" t="s">
        <v>67</v>
      </c>
      <c r="BR781" s="1787" t="s">
        <v>67</v>
      </c>
      <c r="BS781" s="1787" t="s">
        <v>67</v>
      </c>
      <c r="BT781" s="1787" t="s">
        <v>67</v>
      </c>
      <c r="BU781" s="1787" t="s">
        <v>67</v>
      </c>
      <c r="BV781" s="1787" t="s">
        <v>67</v>
      </c>
      <c r="BW781" s="1785" t="s">
        <v>67</v>
      </c>
      <c r="BX781" s="13"/>
      <c r="BY781" s="22"/>
      <c r="BZ781" s="22"/>
      <c r="CA781" s="22"/>
      <c r="CB781" s="22"/>
      <c r="CC781" s="22"/>
      <c r="CD781" s="22"/>
      <c r="CE781" s="1246" t="s">
        <v>3947</v>
      </c>
      <c r="CF781" s="866"/>
    </row>
    <row r="782" spans="1:84" ht="60.75" hidden="1" customHeight="1">
      <c r="A782" s="1467"/>
      <c r="B782" s="22"/>
      <c r="C782" s="22"/>
      <c r="D782" s="22"/>
      <c r="E782" s="921"/>
      <c r="F782" s="921"/>
      <c r="G782" s="925"/>
      <c r="H782" s="1793"/>
      <c r="I782" s="331"/>
      <c r="J782" s="331"/>
      <c r="K782" s="169">
        <v>2024</v>
      </c>
      <c r="L782" s="1446">
        <v>242010</v>
      </c>
      <c r="M782" s="1446"/>
      <c r="N782" s="170" t="s">
        <v>165</v>
      </c>
      <c r="O782" s="178" t="s">
        <v>6601</v>
      </c>
      <c r="P782" s="172" t="s">
        <v>45</v>
      </c>
      <c r="Q782" s="1491" t="s">
        <v>6713</v>
      </c>
      <c r="R782" s="173" t="s">
        <v>1975</v>
      </c>
      <c r="S782" s="586">
        <f>174092.8</f>
        <v>174092.79999999999</v>
      </c>
      <c r="T782" s="582">
        <v>45400</v>
      </c>
      <c r="U782" s="176">
        <v>45404</v>
      </c>
      <c r="V782" s="177">
        <v>45408</v>
      </c>
      <c r="W782" s="667"/>
      <c r="X782" s="178" t="s">
        <v>6656</v>
      </c>
      <c r="Y782" s="170" t="s">
        <v>6459</v>
      </c>
      <c r="Z782" s="1771" t="s">
        <v>67</v>
      </c>
      <c r="AA782" s="1772" t="s">
        <v>67</v>
      </c>
      <c r="AB782" s="33"/>
      <c r="AC782" s="8"/>
      <c r="AD782" s="4"/>
      <c r="AE782" s="4"/>
      <c r="AF782" s="32"/>
      <c r="AG782" s="1773" t="s">
        <v>67</v>
      </c>
      <c r="AH782" s="1774" t="s">
        <v>67</v>
      </c>
      <c r="AI782" s="1774" t="s">
        <v>67</v>
      </c>
      <c r="AJ782" s="1775" t="s">
        <v>67</v>
      </c>
      <c r="AK782" s="1776" t="s">
        <v>67</v>
      </c>
      <c r="AL782" s="1777" t="s">
        <v>67</v>
      </c>
      <c r="AM782" s="1680" t="s">
        <v>67</v>
      </c>
      <c r="AN782" s="1704"/>
      <c r="AO782" s="1680" t="s">
        <v>67</v>
      </c>
      <c r="AP782" s="1704"/>
      <c r="AQ782" s="1680" t="s">
        <v>67</v>
      </c>
      <c r="AR782" s="1704"/>
      <c r="AS782" s="1778"/>
      <c r="AT782" s="1779">
        <v>0</v>
      </c>
      <c r="AU782" s="1780">
        <v>0</v>
      </c>
      <c r="AV782" s="1781">
        <v>0</v>
      </c>
      <c r="AW782" s="1782" t="s">
        <v>67</v>
      </c>
      <c r="AX782" s="1701" t="s">
        <v>67</v>
      </c>
      <c r="AY782" s="1702" t="s">
        <v>67</v>
      </c>
      <c r="AZ782" s="1703" t="s">
        <v>67</v>
      </c>
      <c r="BA782" s="30" t="s">
        <v>67</v>
      </c>
      <c r="BB782" s="5"/>
      <c r="BC782" s="5"/>
      <c r="BD782" s="11"/>
      <c r="BE782" s="30" t="s">
        <v>67</v>
      </c>
      <c r="BF782" s="310"/>
      <c r="BG782" s="5"/>
      <c r="BH782" s="5"/>
      <c r="BI782" s="5"/>
      <c r="BJ782" s="36"/>
      <c r="BK782" s="1784" t="s">
        <v>67</v>
      </c>
      <c r="BL782" s="1139"/>
      <c r="BM782" s="1785" t="s">
        <v>67</v>
      </c>
      <c r="BN782" s="1786" t="s">
        <v>67</v>
      </c>
      <c r="BO782" s="1786" t="s">
        <v>67</v>
      </c>
      <c r="BP782" s="1787" t="s">
        <v>67</v>
      </c>
      <c r="BQ782" s="1787" t="s">
        <v>67</v>
      </c>
      <c r="BR782" s="1787" t="s">
        <v>67</v>
      </c>
      <c r="BS782" s="1787" t="s">
        <v>67</v>
      </c>
      <c r="BT782" s="1787" t="s">
        <v>67</v>
      </c>
      <c r="BU782" s="1787" t="s">
        <v>67</v>
      </c>
      <c r="BV782" s="1787" t="s">
        <v>67</v>
      </c>
      <c r="BW782" s="1785" t="s">
        <v>67</v>
      </c>
      <c r="BX782" s="13"/>
      <c r="BY782" s="22"/>
      <c r="BZ782" s="22"/>
      <c r="CA782" s="22"/>
      <c r="CB782" s="22"/>
      <c r="CC782" s="22"/>
      <c r="CD782" s="22"/>
      <c r="CE782" s="1246" t="s">
        <v>3947</v>
      </c>
      <c r="CF782" s="866"/>
    </row>
    <row r="783" spans="1:84" ht="153" hidden="1" customHeight="1">
      <c r="A783" s="1467"/>
      <c r="B783" s="22"/>
      <c r="C783" s="22"/>
      <c r="D783" s="22"/>
      <c r="E783" s="921"/>
      <c r="F783" s="921"/>
      <c r="G783" s="925"/>
      <c r="H783" s="1793"/>
      <c r="I783" s="331"/>
      <c r="J783" s="331"/>
      <c r="K783" s="169">
        <v>2024</v>
      </c>
      <c r="L783" s="1446">
        <v>242010</v>
      </c>
      <c r="M783" s="1446"/>
      <c r="N783" s="170" t="s">
        <v>165</v>
      </c>
      <c r="O783" s="178" t="s">
        <v>6602</v>
      </c>
      <c r="P783" s="172" t="s">
        <v>45</v>
      </c>
      <c r="Q783" s="1491" t="s">
        <v>6657</v>
      </c>
      <c r="R783" s="173" t="s">
        <v>6663</v>
      </c>
      <c r="S783" s="586">
        <f>5500*1.16</f>
        <v>6380</v>
      </c>
      <c r="T783" s="582">
        <v>45399</v>
      </c>
      <c r="U783" s="176">
        <v>45400</v>
      </c>
      <c r="V783" s="177">
        <v>45401</v>
      </c>
      <c r="W783" s="667"/>
      <c r="X783" s="178" t="s">
        <v>4365</v>
      </c>
      <c r="Y783" s="170" t="s">
        <v>6459</v>
      </c>
      <c r="Z783" s="1771" t="s">
        <v>67</v>
      </c>
      <c r="AA783" s="1772" t="s">
        <v>67</v>
      </c>
      <c r="AB783" s="33"/>
      <c r="AC783" s="8"/>
      <c r="AD783" s="4"/>
      <c r="AE783" s="4"/>
      <c r="AF783" s="32"/>
      <c r="AG783" s="1773" t="s">
        <v>67</v>
      </c>
      <c r="AH783" s="1774" t="s">
        <v>67</v>
      </c>
      <c r="AI783" s="1774" t="s">
        <v>67</v>
      </c>
      <c r="AJ783" s="1775" t="s">
        <v>67</v>
      </c>
      <c r="AK783" s="1776" t="s">
        <v>67</v>
      </c>
      <c r="AL783" s="1777" t="s">
        <v>67</v>
      </c>
      <c r="AM783" s="1680" t="s">
        <v>67</v>
      </c>
      <c r="AN783" s="1704"/>
      <c r="AO783" s="1680" t="s">
        <v>67</v>
      </c>
      <c r="AP783" s="1704"/>
      <c r="AQ783" s="1680" t="s">
        <v>67</v>
      </c>
      <c r="AR783" s="1704"/>
      <c r="AS783" s="1778"/>
      <c r="AT783" s="1779">
        <v>0</v>
      </c>
      <c r="AU783" s="1780">
        <v>0</v>
      </c>
      <c r="AV783" s="1781">
        <v>0</v>
      </c>
      <c r="AW783" s="1782" t="s">
        <v>67</v>
      </c>
      <c r="AX783" s="1701" t="s">
        <v>67</v>
      </c>
      <c r="AY783" s="1702" t="s">
        <v>67</v>
      </c>
      <c r="AZ783" s="1703" t="s">
        <v>67</v>
      </c>
      <c r="BA783" s="30" t="s">
        <v>67</v>
      </c>
      <c r="BB783" s="5"/>
      <c r="BC783" s="5"/>
      <c r="BD783" s="11"/>
      <c r="BE783" s="30" t="s">
        <v>67</v>
      </c>
      <c r="BF783" s="310"/>
      <c r="BG783" s="5"/>
      <c r="BH783" s="5"/>
      <c r="BI783" s="5"/>
      <c r="BJ783" s="36"/>
      <c r="BK783" s="1784" t="s">
        <v>67</v>
      </c>
      <c r="BL783" s="1139"/>
      <c r="BM783" s="1785" t="s">
        <v>67</v>
      </c>
      <c r="BN783" s="1786" t="s">
        <v>67</v>
      </c>
      <c r="BO783" s="1786" t="s">
        <v>67</v>
      </c>
      <c r="BP783" s="1787" t="s">
        <v>67</v>
      </c>
      <c r="BQ783" s="1787" t="s">
        <v>67</v>
      </c>
      <c r="BR783" s="1787" t="s">
        <v>67</v>
      </c>
      <c r="BS783" s="1787" t="s">
        <v>67</v>
      </c>
      <c r="BT783" s="1787" t="s">
        <v>67</v>
      </c>
      <c r="BU783" s="1787" t="s">
        <v>67</v>
      </c>
      <c r="BV783" s="1787" t="s">
        <v>67</v>
      </c>
      <c r="BW783" s="1785" t="s">
        <v>67</v>
      </c>
      <c r="BX783" s="13"/>
      <c r="BY783" s="22"/>
      <c r="BZ783" s="22"/>
      <c r="CA783" s="22"/>
      <c r="CB783" s="22"/>
      <c r="CC783" s="22"/>
      <c r="CD783" s="22"/>
      <c r="CE783" s="1246" t="s">
        <v>3947</v>
      </c>
      <c r="CF783" s="866"/>
    </row>
    <row r="784" spans="1:84" ht="205.5" hidden="1" customHeight="1">
      <c r="A784" s="1467"/>
      <c r="B784" s="22"/>
      <c r="C784" s="22"/>
      <c r="D784" s="22"/>
      <c r="E784" s="921"/>
      <c r="F784" s="921"/>
      <c r="G784" s="925"/>
      <c r="H784" s="1793"/>
      <c r="I784" s="331"/>
      <c r="J784" s="331"/>
      <c r="K784" s="169">
        <v>2024</v>
      </c>
      <c r="L784" s="1446">
        <v>242010</v>
      </c>
      <c r="M784" s="1446"/>
      <c r="N784" s="170" t="s">
        <v>165</v>
      </c>
      <c r="O784" s="178" t="s">
        <v>6603</v>
      </c>
      <c r="P784" s="172" t="s">
        <v>45</v>
      </c>
      <c r="Q784" s="1491" t="s">
        <v>6658</v>
      </c>
      <c r="R784" s="173" t="s">
        <v>6659</v>
      </c>
      <c r="S784" s="586">
        <f>20000*1.16</f>
        <v>23200</v>
      </c>
      <c r="T784" s="582">
        <v>45397</v>
      </c>
      <c r="U784" s="176">
        <v>45398</v>
      </c>
      <c r="V784" s="177">
        <v>45401</v>
      </c>
      <c r="W784" s="667"/>
      <c r="X784" s="178" t="s">
        <v>2989</v>
      </c>
      <c r="Y784" s="170" t="s">
        <v>6459</v>
      </c>
      <c r="Z784" s="1771" t="s">
        <v>67</v>
      </c>
      <c r="AA784" s="1772" t="s">
        <v>67</v>
      </c>
      <c r="AB784" s="33"/>
      <c r="AC784" s="8"/>
      <c r="AD784" s="4"/>
      <c r="AE784" s="4"/>
      <c r="AF784" s="32"/>
      <c r="AG784" s="1773" t="s">
        <v>67</v>
      </c>
      <c r="AH784" s="1774" t="s">
        <v>67</v>
      </c>
      <c r="AI784" s="1774" t="s">
        <v>67</v>
      </c>
      <c r="AJ784" s="1775" t="s">
        <v>67</v>
      </c>
      <c r="AK784" s="1776" t="s">
        <v>67</v>
      </c>
      <c r="AL784" s="1777" t="s">
        <v>67</v>
      </c>
      <c r="AM784" s="1680" t="s">
        <v>67</v>
      </c>
      <c r="AN784" s="1704"/>
      <c r="AO784" s="1680" t="s">
        <v>67</v>
      </c>
      <c r="AP784" s="1704"/>
      <c r="AQ784" s="1680" t="s">
        <v>67</v>
      </c>
      <c r="AR784" s="1704"/>
      <c r="AS784" s="1778"/>
      <c r="AT784" s="1779">
        <v>0</v>
      </c>
      <c r="AU784" s="1780">
        <v>0</v>
      </c>
      <c r="AV784" s="1781">
        <v>0</v>
      </c>
      <c r="AW784" s="1782" t="s">
        <v>67</v>
      </c>
      <c r="AX784" s="1701" t="s">
        <v>67</v>
      </c>
      <c r="AY784" s="1702" t="s">
        <v>67</v>
      </c>
      <c r="AZ784" s="1703" t="s">
        <v>67</v>
      </c>
      <c r="BA784" s="30" t="s">
        <v>67</v>
      </c>
      <c r="BB784" s="5"/>
      <c r="BC784" s="5"/>
      <c r="BD784" s="11"/>
      <c r="BE784" s="30" t="s">
        <v>67</v>
      </c>
      <c r="BF784" s="310"/>
      <c r="BG784" s="5"/>
      <c r="BH784" s="5"/>
      <c r="BI784" s="5"/>
      <c r="BJ784" s="36"/>
      <c r="BK784" s="1784" t="s">
        <v>67</v>
      </c>
      <c r="BL784" s="1139"/>
      <c r="BM784" s="1785" t="s">
        <v>67</v>
      </c>
      <c r="BN784" s="1786" t="s">
        <v>67</v>
      </c>
      <c r="BO784" s="1786" t="s">
        <v>67</v>
      </c>
      <c r="BP784" s="1787" t="s">
        <v>67</v>
      </c>
      <c r="BQ784" s="1787" t="s">
        <v>67</v>
      </c>
      <c r="BR784" s="1787" t="s">
        <v>67</v>
      </c>
      <c r="BS784" s="1787" t="s">
        <v>67</v>
      </c>
      <c r="BT784" s="1787" t="s">
        <v>67</v>
      </c>
      <c r="BU784" s="1787" t="s">
        <v>67</v>
      </c>
      <c r="BV784" s="1787" t="s">
        <v>67</v>
      </c>
      <c r="BW784" s="1785" t="s">
        <v>67</v>
      </c>
      <c r="BX784" s="13"/>
      <c r="BY784" s="22"/>
      <c r="BZ784" s="22"/>
      <c r="CA784" s="22"/>
      <c r="CB784" s="22"/>
      <c r="CC784" s="22"/>
      <c r="CD784" s="22"/>
      <c r="CE784" s="1246" t="s">
        <v>3947</v>
      </c>
      <c r="CF784" s="866"/>
    </row>
    <row r="785" spans="1:84" ht="159.75" hidden="1" customHeight="1">
      <c r="A785" s="1467"/>
      <c r="B785" s="22"/>
      <c r="C785" s="22"/>
      <c r="D785" s="22"/>
      <c r="E785" s="921"/>
      <c r="F785" s="921"/>
      <c r="G785" s="925"/>
      <c r="H785" s="1793"/>
      <c r="I785" s="331"/>
      <c r="J785" s="331"/>
      <c r="K785" s="169">
        <v>2024</v>
      </c>
      <c r="L785" s="1446">
        <v>242010</v>
      </c>
      <c r="M785" s="1446"/>
      <c r="N785" s="170" t="s">
        <v>165</v>
      </c>
      <c r="O785" s="178" t="s">
        <v>6604</v>
      </c>
      <c r="P785" s="172" t="s">
        <v>45</v>
      </c>
      <c r="Q785" s="1491" t="s">
        <v>6661</v>
      </c>
      <c r="R785" s="173" t="s">
        <v>6662</v>
      </c>
      <c r="S785" s="586">
        <f>5500*1.16</f>
        <v>6380</v>
      </c>
      <c r="T785" s="582">
        <v>45401</v>
      </c>
      <c r="U785" s="176">
        <v>45405</v>
      </c>
      <c r="V785" s="177">
        <v>45406</v>
      </c>
      <c r="W785" s="667"/>
      <c r="X785" s="178" t="s">
        <v>4365</v>
      </c>
      <c r="Y785" s="170" t="s">
        <v>6459</v>
      </c>
      <c r="Z785" s="1771" t="s">
        <v>67</v>
      </c>
      <c r="AA785" s="1772" t="s">
        <v>67</v>
      </c>
      <c r="AB785" s="33"/>
      <c r="AC785" s="8"/>
      <c r="AD785" s="4"/>
      <c r="AE785" s="4"/>
      <c r="AF785" s="32"/>
      <c r="AG785" s="1773" t="s">
        <v>67</v>
      </c>
      <c r="AH785" s="1774" t="s">
        <v>67</v>
      </c>
      <c r="AI785" s="1774" t="s">
        <v>67</v>
      </c>
      <c r="AJ785" s="1775" t="s">
        <v>67</v>
      </c>
      <c r="AK785" s="1776" t="s">
        <v>67</v>
      </c>
      <c r="AL785" s="1777" t="s">
        <v>67</v>
      </c>
      <c r="AM785" s="1680" t="s">
        <v>67</v>
      </c>
      <c r="AN785" s="1704"/>
      <c r="AO785" s="1680" t="s">
        <v>67</v>
      </c>
      <c r="AP785" s="1704"/>
      <c r="AQ785" s="1680" t="s">
        <v>67</v>
      </c>
      <c r="AR785" s="1704"/>
      <c r="AS785" s="1778"/>
      <c r="AT785" s="1779">
        <v>0</v>
      </c>
      <c r="AU785" s="1780">
        <v>0</v>
      </c>
      <c r="AV785" s="1781">
        <v>0</v>
      </c>
      <c r="AW785" s="1782" t="s">
        <v>67</v>
      </c>
      <c r="AX785" s="1701" t="s">
        <v>67</v>
      </c>
      <c r="AY785" s="1702" t="s">
        <v>67</v>
      </c>
      <c r="AZ785" s="1703" t="s">
        <v>67</v>
      </c>
      <c r="BA785" s="30" t="s">
        <v>67</v>
      </c>
      <c r="BB785" s="5"/>
      <c r="BC785" s="5"/>
      <c r="BD785" s="11"/>
      <c r="BE785" s="30" t="s">
        <v>67</v>
      </c>
      <c r="BF785" s="310"/>
      <c r="BG785" s="5"/>
      <c r="BH785" s="5"/>
      <c r="BI785" s="5"/>
      <c r="BJ785" s="36"/>
      <c r="BK785" s="1784" t="s">
        <v>67</v>
      </c>
      <c r="BL785" s="1139"/>
      <c r="BM785" s="1785" t="s">
        <v>67</v>
      </c>
      <c r="BN785" s="1786" t="s">
        <v>67</v>
      </c>
      <c r="BO785" s="1786" t="s">
        <v>67</v>
      </c>
      <c r="BP785" s="1787" t="s">
        <v>67</v>
      </c>
      <c r="BQ785" s="1787" t="s">
        <v>67</v>
      </c>
      <c r="BR785" s="1787" t="s">
        <v>67</v>
      </c>
      <c r="BS785" s="1787" t="s">
        <v>67</v>
      </c>
      <c r="BT785" s="1787" t="s">
        <v>67</v>
      </c>
      <c r="BU785" s="1787" t="s">
        <v>67</v>
      </c>
      <c r="BV785" s="1787" t="s">
        <v>67</v>
      </c>
      <c r="BW785" s="1785" t="s">
        <v>67</v>
      </c>
      <c r="BX785" s="13"/>
      <c r="BY785" s="22"/>
      <c r="BZ785" s="22"/>
      <c r="CA785" s="22"/>
      <c r="CB785" s="22"/>
      <c r="CC785" s="22"/>
      <c r="CD785" s="22"/>
      <c r="CE785" s="1246" t="s">
        <v>3947</v>
      </c>
      <c r="CF785" s="866"/>
    </row>
    <row r="786" spans="1:84" ht="60" hidden="1" customHeight="1">
      <c r="A786" s="1467"/>
      <c r="B786" s="22"/>
      <c r="C786" s="22"/>
      <c r="D786" s="22"/>
      <c r="E786" s="921"/>
      <c r="F786" s="921"/>
      <c r="G786" s="925"/>
      <c r="H786" s="1793"/>
      <c r="I786" s="331"/>
      <c r="J786" s="331"/>
      <c r="K786" s="169">
        <v>2024</v>
      </c>
      <c r="L786" s="1446">
        <v>242010</v>
      </c>
      <c r="M786" s="1446"/>
      <c r="N786" s="170" t="s">
        <v>165</v>
      </c>
      <c r="O786" s="178" t="s">
        <v>6605</v>
      </c>
      <c r="P786" s="172" t="s">
        <v>45</v>
      </c>
      <c r="Q786" s="1491" t="s">
        <v>6664</v>
      </c>
      <c r="R786" s="173" t="s">
        <v>1975</v>
      </c>
      <c r="S786" s="586">
        <f>17000*1.16</f>
        <v>19720</v>
      </c>
      <c r="T786" s="582">
        <v>45450</v>
      </c>
      <c r="U786" s="176">
        <v>45453</v>
      </c>
      <c r="V786" s="177">
        <v>45453</v>
      </c>
      <c r="W786" s="667"/>
      <c r="X786" s="178" t="s">
        <v>2989</v>
      </c>
      <c r="Y786" s="170" t="s">
        <v>6459</v>
      </c>
      <c r="Z786" s="1771" t="s">
        <v>67</v>
      </c>
      <c r="AA786" s="1772" t="s">
        <v>67</v>
      </c>
      <c r="AB786" s="33"/>
      <c r="AC786" s="8"/>
      <c r="AD786" s="4"/>
      <c r="AE786" s="4"/>
      <c r="AF786" s="32"/>
      <c r="AG786" s="1773" t="s">
        <v>67</v>
      </c>
      <c r="AH786" s="1774" t="s">
        <v>67</v>
      </c>
      <c r="AI786" s="1774" t="s">
        <v>67</v>
      </c>
      <c r="AJ786" s="1775" t="s">
        <v>67</v>
      </c>
      <c r="AK786" s="1776" t="s">
        <v>67</v>
      </c>
      <c r="AL786" s="1777" t="s">
        <v>67</v>
      </c>
      <c r="AM786" s="1680" t="s">
        <v>67</v>
      </c>
      <c r="AN786" s="1704"/>
      <c r="AO786" s="1680" t="s">
        <v>67</v>
      </c>
      <c r="AP786" s="1704"/>
      <c r="AQ786" s="1680" t="s">
        <v>67</v>
      </c>
      <c r="AR786" s="1704"/>
      <c r="AS786" s="1778"/>
      <c r="AT786" s="1779">
        <v>0</v>
      </c>
      <c r="AU786" s="1780">
        <v>0</v>
      </c>
      <c r="AV786" s="1781">
        <v>0</v>
      </c>
      <c r="AW786" s="1782" t="s">
        <v>67</v>
      </c>
      <c r="AX786" s="1701" t="s">
        <v>67</v>
      </c>
      <c r="AY786" s="1702" t="s">
        <v>67</v>
      </c>
      <c r="AZ786" s="1703" t="s">
        <v>67</v>
      </c>
      <c r="BA786" s="30" t="s">
        <v>67</v>
      </c>
      <c r="BB786" s="5"/>
      <c r="BC786" s="5"/>
      <c r="BD786" s="11"/>
      <c r="BE786" s="30" t="s">
        <v>67</v>
      </c>
      <c r="BF786" s="310"/>
      <c r="BG786" s="5"/>
      <c r="BH786" s="5"/>
      <c r="BI786" s="5"/>
      <c r="BJ786" s="36"/>
      <c r="BK786" s="1784" t="s">
        <v>67</v>
      </c>
      <c r="BL786" s="1139"/>
      <c r="BM786" s="1785" t="s">
        <v>67</v>
      </c>
      <c r="BN786" s="1786" t="s">
        <v>67</v>
      </c>
      <c r="BO786" s="1786" t="s">
        <v>67</v>
      </c>
      <c r="BP786" s="1787" t="s">
        <v>67</v>
      </c>
      <c r="BQ786" s="1787" t="s">
        <v>67</v>
      </c>
      <c r="BR786" s="1787" t="s">
        <v>67</v>
      </c>
      <c r="BS786" s="1787" t="s">
        <v>67</v>
      </c>
      <c r="BT786" s="1787" t="s">
        <v>67</v>
      </c>
      <c r="BU786" s="1787" t="s">
        <v>67</v>
      </c>
      <c r="BV786" s="1787" t="s">
        <v>67</v>
      </c>
      <c r="BW786" s="1785" t="s">
        <v>67</v>
      </c>
      <c r="BX786" s="13"/>
      <c r="BY786" s="22"/>
      <c r="BZ786" s="22"/>
      <c r="CA786" s="22"/>
      <c r="CB786" s="22"/>
      <c r="CC786" s="22"/>
      <c r="CD786" s="22"/>
      <c r="CE786" s="1246" t="s">
        <v>3947</v>
      </c>
      <c r="CF786" s="866"/>
    </row>
    <row r="787" spans="1:84" ht="311.25" hidden="1" customHeight="1">
      <c r="A787" s="1467"/>
      <c r="B787" s="22"/>
      <c r="C787" s="22"/>
      <c r="D787" s="22"/>
      <c r="E787" s="921"/>
      <c r="F787" s="921"/>
      <c r="G787" s="925"/>
      <c r="H787" s="1793"/>
      <c r="I787" s="331"/>
      <c r="J787" s="331"/>
      <c r="K787" s="169">
        <v>2024</v>
      </c>
      <c r="L787" s="1446">
        <v>242010</v>
      </c>
      <c r="M787" s="1446"/>
      <c r="N787" s="170" t="s">
        <v>165</v>
      </c>
      <c r="O787" s="178" t="s">
        <v>6606</v>
      </c>
      <c r="P787" s="172" t="s">
        <v>45</v>
      </c>
      <c r="Q787" s="1491" t="s">
        <v>6731</v>
      </c>
      <c r="R787" s="173" t="s">
        <v>6665</v>
      </c>
      <c r="S787" s="586">
        <f>73920*1.16</f>
        <v>85747.199999999997</v>
      </c>
      <c r="T787" s="582">
        <v>45456</v>
      </c>
      <c r="U787" s="176">
        <v>45460</v>
      </c>
      <c r="V787" s="177">
        <v>45471</v>
      </c>
      <c r="W787" s="667"/>
      <c r="X787" s="178" t="s">
        <v>3961</v>
      </c>
      <c r="Y787" s="170" t="s">
        <v>6459</v>
      </c>
      <c r="Z787" s="1771" t="s">
        <v>67</v>
      </c>
      <c r="AA787" s="1772" t="s">
        <v>67</v>
      </c>
      <c r="AB787" s="33"/>
      <c r="AC787" s="8"/>
      <c r="AD787" s="4"/>
      <c r="AE787" s="4"/>
      <c r="AF787" s="32"/>
      <c r="AG787" s="1773" t="s">
        <v>67</v>
      </c>
      <c r="AH787" s="1774" t="s">
        <v>67</v>
      </c>
      <c r="AI787" s="1774" t="s">
        <v>67</v>
      </c>
      <c r="AJ787" s="1775" t="s">
        <v>67</v>
      </c>
      <c r="AK787" s="1776" t="s">
        <v>67</v>
      </c>
      <c r="AL787" s="1777" t="s">
        <v>67</v>
      </c>
      <c r="AM787" s="1680" t="s">
        <v>67</v>
      </c>
      <c r="AN787" s="1704"/>
      <c r="AO787" s="1680" t="s">
        <v>67</v>
      </c>
      <c r="AP787" s="1704"/>
      <c r="AQ787" s="1680" t="s">
        <v>67</v>
      </c>
      <c r="AR787" s="1704"/>
      <c r="AS787" s="1778"/>
      <c r="AT787" s="1779">
        <v>0</v>
      </c>
      <c r="AU787" s="1780">
        <v>0</v>
      </c>
      <c r="AV787" s="1781">
        <v>0</v>
      </c>
      <c r="AW787" s="1782" t="s">
        <v>67</v>
      </c>
      <c r="AX787" s="1701" t="s">
        <v>67</v>
      </c>
      <c r="AY787" s="1702" t="s">
        <v>67</v>
      </c>
      <c r="AZ787" s="1703" t="s">
        <v>67</v>
      </c>
      <c r="BA787" s="30" t="s">
        <v>67</v>
      </c>
      <c r="BB787" s="5"/>
      <c r="BC787" s="5"/>
      <c r="BD787" s="11"/>
      <c r="BE787" s="30" t="s">
        <v>67</v>
      </c>
      <c r="BF787" s="310"/>
      <c r="BG787" s="5"/>
      <c r="BH787" s="5"/>
      <c r="BI787" s="5"/>
      <c r="BJ787" s="36"/>
      <c r="BK787" s="1784" t="s">
        <v>67</v>
      </c>
      <c r="BL787" s="1139"/>
      <c r="BM787" s="1785" t="s">
        <v>67</v>
      </c>
      <c r="BN787" s="1786" t="s">
        <v>67</v>
      </c>
      <c r="BO787" s="1786" t="s">
        <v>67</v>
      </c>
      <c r="BP787" s="1787" t="s">
        <v>67</v>
      </c>
      <c r="BQ787" s="1787" t="s">
        <v>67</v>
      </c>
      <c r="BR787" s="1787" t="s">
        <v>67</v>
      </c>
      <c r="BS787" s="1787" t="s">
        <v>67</v>
      </c>
      <c r="BT787" s="1787" t="s">
        <v>67</v>
      </c>
      <c r="BU787" s="1787" t="s">
        <v>67</v>
      </c>
      <c r="BV787" s="1787" t="s">
        <v>67</v>
      </c>
      <c r="BW787" s="1785" t="s">
        <v>67</v>
      </c>
      <c r="BX787" s="13"/>
      <c r="BY787" s="22"/>
      <c r="BZ787" s="22"/>
      <c r="CA787" s="22"/>
      <c r="CB787" s="22"/>
      <c r="CC787" s="22"/>
      <c r="CD787" s="22"/>
      <c r="CE787" s="1246" t="s">
        <v>3947</v>
      </c>
      <c r="CF787" s="866"/>
    </row>
    <row r="788" spans="1:84" ht="151.5" hidden="1" customHeight="1">
      <c r="A788" s="1467"/>
      <c r="B788" s="22"/>
      <c r="C788" s="22"/>
      <c r="D788" s="22"/>
      <c r="E788" s="921"/>
      <c r="F788" s="921"/>
      <c r="G788" s="925"/>
      <c r="H788" s="1793"/>
      <c r="I788" s="331"/>
      <c r="J788" s="331"/>
      <c r="K788" s="169">
        <v>2024</v>
      </c>
      <c r="L788" s="1446">
        <v>242010</v>
      </c>
      <c r="M788" s="1446"/>
      <c r="N788" s="170" t="s">
        <v>165</v>
      </c>
      <c r="O788" s="178" t="s">
        <v>6607</v>
      </c>
      <c r="P788" s="172" t="s">
        <v>45</v>
      </c>
      <c r="Q788" s="1491" t="s">
        <v>6666</v>
      </c>
      <c r="R788" s="173" t="s">
        <v>4827</v>
      </c>
      <c r="S788" s="586">
        <f>39770</f>
        <v>39770</v>
      </c>
      <c r="T788" s="582">
        <v>45443</v>
      </c>
      <c r="U788" s="176">
        <v>45444</v>
      </c>
      <c r="V788" s="177">
        <v>45451</v>
      </c>
      <c r="W788" s="667"/>
      <c r="X788" s="178" t="s">
        <v>3963</v>
      </c>
      <c r="Y788" s="170" t="s">
        <v>1106</v>
      </c>
      <c r="Z788" s="1771" t="s">
        <v>67</v>
      </c>
      <c r="AA788" s="1772" t="s">
        <v>67</v>
      </c>
      <c r="AB788" s="33"/>
      <c r="AC788" s="8"/>
      <c r="AD788" s="4"/>
      <c r="AE788" s="4"/>
      <c r="AF788" s="32"/>
      <c r="AG788" s="1773" t="s">
        <v>67</v>
      </c>
      <c r="AH788" s="1774" t="s">
        <v>67</v>
      </c>
      <c r="AI788" s="1774" t="s">
        <v>67</v>
      </c>
      <c r="AJ788" s="1775" t="s">
        <v>67</v>
      </c>
      <c r="AK788" s="1776" t="s">
        <v>67</v>
      </c>
      <c r="AL788" s="1777" t="s">
        <v>67</v>
      </c>
      <c r="AM788" s="1680" t="s">
        <v>67</v>
      </c>
      <c r="AN788" s="1704"/>
      <c r="AO788" s="1680" t="s">
        <v>67</v>
      </c>
      <c r="AP788" s="1704"/>
      <c r="AQ788" s="1680" t="s">
        <v>67</v>
      </c>
      <c r="AR788" s="1704"/>
      <c r="AS788" s="1778"/>
      <c r="AT788" s="1779">
        <v>0</v>
      </c>
      <c r="AU788" s="1780">
        <v>0</v>
      </c>
      <c r="AV788" s="1781">
        <v>0</v>
      </c>
      <c r="AW788" s="1782" t="s">
        <v>67</v>
      </c>
      <c r="AX788" s="1701" t="s">
        <v>67</v>
      </c>
      <c r="AY788" s="1702" t="s">
        <v>67</v>
      </c>
      <c r="AZ788" s="1703" t="s">
        <v>67</v>
      </c>
      <c r="BA788" s="30" t="s">
        <v>67</v>
      </c>
      <c r="BB788" s="5"/>
      <c r="BC788" s="5"/>
      <c r="BD788" s="11"/>
      <c r="BE788" s="30" t="s">
        <v>67</v>
      </c>
      <c r="BF788" s="310"/>
      <c r="BG788" s="5"/>
      <c r="BH788" s="5"/>
      <c r="BI788" s="5"/>
      <c r="BJ788" s="36"/>
      <c r="BK788" s="1784" t="s">
        <v>67</v>
      </c>
      <c r="BL788" s="1139"/>
      <c r="BM788" s="1785" t="s">
        <v>67</v>
      </c>
      <c r="BN788" s="1786" t="s">
        <v>67</v>
      </c>
      <c r="BO788" s="1786" t="s">
        <v>67</v>
      </c>
      <c r="BP788" s="1787" t="s">
        <v>67</v>
      </c>
      <c r="BQ788" s="1787" t="s">
        <v>67</v>
      </c>
      <c r="BR788" s="1787" t="s">
        <v>67</v>
      </c>
      <c r="BS788" s="1787" t="s">
        <v>67</v>
      </c>
      <c r="BT788" s="1787" t="s">
        <v>67</v>
      </c>
      <c r="BU788" s="1787" t="s">
        <v>67</v>
      </c>
      <c r="BV788" s="1787" t="s">
        <v>67</v>
      </c>
      <c r="BW788" s="1785" t="s">
        <v>67</v>
      </c>
      <c r="BX788" s="13"/>
      <c r="BY788" s="22"/>
      <c r="BZ788" s="22"/>
      <c r="CA788" s="22"/>
      <c r="CB788" s="22"/>
      <c r="CC788" s="22"/>
      <c r="CD788" s="22"/>
      <c r="CE788" s="1246" t="s">
        <v>3947</v>
      </c>
      <c r="CF788" s="866"/>
    </row>
    <row r="789" spans="1:84" ht="114.75" hidden="1" customHeight="1">
      <c r="A789" s="1467"/>
      <c r="B789" s="22"/>
      <c r="C789" s="22"/>
      <c r="D789" s="22"/>
      <c r="E789" s="921"/>
      <c r="F789" s="921"/>
      <c r="G789" s="925"/>
      <c r="H789" s="1793"/>
      <c r="I789" s="331"/>
      <c r="J789" s="331"/>
      <c r="K789" s="169">
        <v>2024</v>
      </c>
      <c r="L789" s="1446">
        <v>242010</v>
      </c>
      <c r="M789" s="1446"/>
      <c r="N789" s="170" t="s">
        <v>165</v>
      </c>
      <c r="O789" s="178" t="s">
        <v>6608</v>
      </c>
      <c r="P789" s="172" t="s">
        <v>45</v>
      </c>
      <c r="Q789" s="1491" t="s">
        <v>6667</v>
      </c>
      <c r="R789" s="173" t="s">
        <v>4827</v>
      </c>
      <c r="S789" s="586">
        <f>46080</f>
        <v>46080</v>
      </c>
      <c r="T789" s="582">
        <v>45450</v>
      </c>
      <c r="U789" s="176">
        <v>45452</v>
      </c>
      <c r="V789" s="177">
        <v>45463</v>
      </c>
      <c r="W789" s="667"/>
      <c r="X789" s="178" t="s">
        <v>3963</v>
      </c>
      <c r="Y789" s="170" t="s">
        <v>1106</v>
      </c>
      <c r="Z789" s="1771" t="s">
        <v>67</v>
      </c>
      <c r="AA789" s="1772" t="s">
        <v>67</v>
      </c>
      <c r="AB789" s="33"/>
      <c r="AC789" s="8"/>
      <c r="AD789" s="4"/>
      <c r="AE789" s="4"/>
      <c r="AF789" s="32"/>
      <c r="AG789" s="1773" t="s">
        <v>67</v>
      </c>
      <c r="AH789" s="1774" t="s">
        <v>67</v>
      </c>
      <c r="AI789" s="1774" t="s">
        <v>67</v>
      </c>
      <c r="AJ789" s="1775" t="s">
        <v>67</v>
      </c>
      <c r="AK789" s="1776" t="s">
        <v>67</v>
      </c>
      <c r="AL789" s="1777" t="s">
        <v>67</v>
      </c>
      <c r="AM789" s="1680" t="s">
        <v>67</v>
      </c>
      <c r="AN789" s="1704"/>
      <c r="AO789" s="1680" t="s">
        <v>67</v>
      </c>
      <c r="AP789" s="1704"/>
      <c r="AQ789" s="1680" t="s">
        <v>67</v>
      </c>
      <c r="AR789" s="1704"/>
      <c r="AS789" s="1778"/>
      <c r="AT789" s="1779">
        <v>0</v>
      </c>
      <c r="AU789" s="1780">
        <v>0</v>
      </c>
      <c r="AV789" s="1781">
        <v>0</v>
      </c>
      <c r="AW789" s="1782" t="s">
        <v>67</v>
      </c>
      <c r="AX789" s="1701" t="s">
        <v>67</v>
      </c>
      <c r="AY789" s="1702" t="s">
        <v>67</v>
      </c>
      <c r="AZ789" s="1703" t="s">
        <v>67</v>
      </c>
      <c r="BA789" s="30" t="s">
        <v>67</v>
      </c>
      <c r="BB789" s="5"/>
      <c r="BC789" s="5"/>
      <c r="BD789" s="11"/>
      <c r="BE789" s="30" t="s">
        <v>67</v>
      </c>
      <c r="BF789" s="310"/>
      <c r="BG789" s="5"/>
      <c r="BH789" s="5"/>
      <c r="BI789" s="5"/>
      <c r="BJ789" s="36"/>
      <c r="BK789" s="1784" t="s">
        <v>67</v>
      </c>
      <c r="BL789" s="1139"/>
      <c r="BM789" s="1785" t="s">
        <v>67</v>
      </c>
      <c r="BN789" s="1786" t="s">
        <v>67</v>
      </c>
      <c r="BO789" s="1786" t="s">
        <v>67</v>
      </c>
      <c r="BP789" s="1787" t="s">
        <v>67</v>
      </c>
      <c r="BQ789" s="1787" t="s">
        <v>67</v>
      </c>
      <c r="BR789" s="1787" t="s">
        <v>67</v>
      </c>
      <c r="BS789" s="1787" t="s">
        <v>67</v>
      </c>
      <c r="BT789" s="1787" t="s">
        <v>67</v>
      </c>
      <c r="BU789" s="1787" t="s">
        <v>67</v>
      </c>
      <c r="BV789" s="1787" t="s">
        <v>67</v>
      </c>
      <c r="BW789" s="1785" t="s">
        <v>67</v>
      </c>
      <c r="BX789" s="13"/>
      <c r="BY789" s="22"/>
      <c r="BZ789" s="22"/>
      <c r="CA789" s="22"/>
      <c r="CB789" s="22"/>
      <c r="CC789" s="22"/>
      <c r="CD789" s="22"/>
      <c r="CE789" s="1246" t="s">
        <v>3947</v>
      </c>
      <c r="CF789" s="866"/>
    </row>
    <row r="790" spans="1:84" ht="135" hidden="1" customHeight="1">
      <c r="A790" s="1467"/>
      <c r="B790" s="22"/>
      <c r="C790" s="22"/>
      <c r="D790" s="22"/>
      <c r="E790" s="921"/>
      <c r="F790" s="921"/>
      <c r="G790" s="925"/>
      <c r="H790" s="1793"/>
      <c r="I790" s="331"/>
      <c r="J790" s="331"/>
      <c r="K790" s="169">
        <v>2024</v>
      </c>
      <c r="L790" s="1446">
        <v>242010</v>
      </c>
      <c r="M790" s="1446"/>
      <c r="N790" s="170" t="s">
        <v>165</v>
      </c>
      <c r="O790" s="178" t="s">
        <v>6609</v>
      </c>
      <c r="P790" s="172" t="s">
        <v>45</v>
      </c>
      <c r="Q790" s="1491" t="s">
        <v>6668</v>
      </c>
      <c r="R790" s="173" t="s">
        <v>1975</v>
      </c>
      <c r="S790" s="586">
        <f>26000*1.16</f>
        <v>30159.999999999996</v>
      </c>
      <c r="T790" s="582">
        <v>45469</v>
      </c>
      <c r="U790" s="176">
        <v>45470</v>
      </c>
      <c r="V790" s="177">
        <v>45474</v>
      </c>
      <c r="W790" s="667"/>
      <c r="X790" s="178" t="s">
        <v>4503</v>
      </c>
      <c r="Y790" s="170" t="s">
        <v>69</v>
      </c>
      <c r="Z790" s="1771" t="s">
        <v>67</v>
      </c>
      <c r="AA790" s="1772" t="s">
        <v>67</v>
      </c>
      <c r="AB790" s="33"/>
      <c r="AC790" s="8"/>
      <c r="AD790" s="4"/>
      <c r="AE790" s="4"/>
      <c r="AF790" s="32"/>
      <c r="AG790" s="1773" t="s">
        <v>67</v>
      </c>
      <c r="AH790" s="1774" t="s">
        <v>67</v>
      </c>
      <c r="AI790" s="1774" t="s">
        <v>67</v>
      </c>
      <c r="AJ790" s="1775" t="s">
        <v>67</v>
      </c>
      <c r="AK790" s="1776" t="s">
        <v>67</v>
      </c>
      <c r="AL790" s="1777" t="s">
        <v>67</v>
      </c>
      <c r="AM790" s="1680" t="s">
        <v>67</v>
      </c>
      <c r="AN790" s="1704"/>
      <c r="AO790" s="1680" t="s">
        <v>67</v>
      </c>
      <c r="AP790" s="1704"/>
      <c r="AQ790" s="1680" t="s">
        <v>67</v>
      </c>
      <c r="AR790" s="1704"/>
      <c r="AS790" s="1778"/>
      <c r="AT790" s="1779">
        <v>0</v>
      </c>
      <c r="AU790" s="1780">
        <v>0</v>
      </c>
      <c r="AV790" s="1781">
        <v>0</v>
      </c>
      <c r="AW790" s="1782" t="s">
        <v>67</v>
      </c>
      <c r="AX790" s="1701" t="s">
        <v>67</v>
      </c>
      <c r="AY790" s="1702" t="s">
        <v>67</v>
      </c>
      <c r="AZ790" s="1703" t="s">
        <v>67</v>
      </c>
      <c r="BA790" s="30" t="s">
        <v>67</v>
      </c>
      <c r="BB790" s="5"/>
      <c r="BC790" s="5"/>
      <c r="BD790" s="11"/>
      <c r="BE790" s="30" t="s">
        <v>67</v>
      </c>
      <c r="BF790" s="310"/>
      <c r="BG790" s="5"/>
      <c r="BH790" s="5"/>
      <c r="BI790" s="5"/>
      <c r="BJ790" s="36"/>
      <c r="BK790" s="1784" t="s">
        <v>67</v>
      </c>
      <c r="BL790" s="1139"/>
      <c r="BM790" s="1785" t="s">
        <v>67</v>
      </c>
      <c r="BN790" s="1786" t="s">
        <v>67</v>
      </c>
      <c r="BO790" s="1786" t="s">
        <v>67</v>
      </c>
      <c r="BP790" s="1787" t="s">
        <v>67</v>
      </c>
      <c r="BQ790" s="1787" t="s">
        <v>67</v>
      </c>
      <c r="BR790" s="1787" t="s">
        <v>67</v>
      </c>
      <c r="BS790" s="1787" t="s">
        <v>67</v>
      </c>
      <c r="BT790" s="1787" t="s">
        <v>67</v>
      </c>
      <c r="BU790" s="1787" t="s">
        <v>67</v>
      </c>
      <c r="BV790" s="1787" t="s">
        <v>67</v>
      </c>
      <c r="BW790" s="1785" t="s">
        <v>67</v>
      </c>
      <c r="BX790" s="13"/>
      <c r="BY790" s="22"/>
      <c r="BZ790" s="22"/>
      <c r="CA790" s="22"/>
      <c r="CB790" s="22"/>
      <c r="CC790" s="22"/>
      <c r="CD790" s="22"/>
      <c r="CE790" s="1246" t="s">
        <v>3947</v>
      </c>
      <c r="CF790" s="866"/>
    </row>
    <row r="791" spans="1:84" ht="109.5" hidden="1" customHeight="1">
      <c r="A791" s="1467"/>
      <c r="B791" s="22"/>
      <c r="C791" s="22"/>
      <c r="D791" s="22"/>
      <c r="E791" s="921"/>
      <c r="F791" s="921"/>
      <c r="G791" s="925"/>
      <c r="H791" s="1793"/>
      <c r="I791" s="331"/>
      <c r="J791" s="331"/>
      <c r="K791" s="169">
        <v>2024</v>
      </c>
      <c r="L791" s="1446">
        <v>242010</v>
      </c>
      <c r="M791" s="1446"/>
      <c r="N791" s="170" t="s">
        <v>165</v>
      </c>
      <c r="O791" s="178" t="s">
        <v>6610</v>
      </c>
      <c r="P791" s="172" t="s">
        <v>45</v>
      </c>
      <c r="Q791" s="1491" t="s">
        <v>6667</v>
      </c>
      <c r="R791" s="173" t="s">
        <v>4827</v>
      </c>
      <c r="S791" s="586">
        <f>26880*1.16</f>
        <v>31180.799999999999</v>
      </c>
      <c r="T791" s="582">
        <v>45463</v>
      </c>
      <c r="U791" s="176">
        <v>45464</v>
      </c>
      <c r="V791" s="177">
        <v>45470</v>
      </c>
      <c r="W791" s="667"/>
      <c r="X791" s="178" t="s">
        <v>3963</v>
      </c>
      <c r="Y791" s="170" t="s">
        <v>1106</v>
      </c>
      <c r="Z791" s="1771" t="s">
        <v>67</v>
      </c>
      <c r="AA791" s="1772" t="s">
        <v>67</v>
      </c>
      <c r="AB791" s="33"/>
      <c r="AC791" s="8"/>
      <c r="AD791" s="4"/>
      <c r="AE791" s="4"/>
      <c r="AF791" s="32"/>
      <c r="AG791" s="1773" t="s">
        <v>67</v>
      </c>
      <c r="AH791" s="1774" t="s">
        <v>67</v>
      </c>
      <c r="AI791" s="1774" t="s">
        <v>67</v>
      </c>
      <c r="AJ791" s="1775" t="s">
        <v>67</v>
      </c>
      <c r="AK791" s="1776" t="s">
        <v>67</v>
      </c>
      <c r="AL791" s="1777" t="s">
        <v>67</v>
      </c>
      <c r="AM791" s="1680" t="s">
        <v>67</v>
      </c>
      <c r="AN791" s="1704"/>
      <c r="AO791" s="1680" t="s">
        <v>67</v>
      </c>
      <c r="AP791" s="1704"/>
      <c r="AQ791" s="1680" t="s">
        <v>67</v>
      </c>
      <c r="AR791" s="1704"/>
      <c r="AS791" s="1778"/>
      <c r="AT791" s="1779">
        <v>0</v>
      </c>
      <c r="AU791" s="1780">
        <v>0</v>
      </c>
      <c r="AV791" s="1781">
        <v>0</v>
      </c>
      <c r="AW791" s="1782" t="s">
        <v>67</v>
      </c>
      <c r="AX791" s="1701" t="s">
        <v>67</v>
      </c>
      <c r="AY791" s="1702" t="s">
        <v>67</v>
      </c>
      <c r="AZ791" s="1703" t="s">
        <v>67</v>
      </c>
      <c r="BA791" s="30" t="s">
        <v>67</v>
      </c>
      <c r="BB791" s="5"/>
      <c r="BC791" s="5"/>
      <c r="BD791" s="11"/>
      <c r="BE791" s="30" t="s">
        <v>67</v>
      </c>
      <c r="BF791" s="310"/>
      <c r="BG791" s="5"/>
      <c r="BH791" s="5"/>
      <c r="BI791" s="5"/>
      <c r="BJ791" s="36"/>
      <c r="BK791" s="1784" t="s">
        <v>67</v>
      </c>
      <c r="BL791" s="1139"/>
      <c r="BM791" s="1785" t="s">
        <v>67</v>
      </c>
      <c r="BN791" s="1786" t="s">
        <v>67</v>
      </c>
      <c r="BO791" s="1786" t="s">
        <v>67</v>
      </c>
      <c r="BP791" s="1787" t="s">
        <v>67</v>
      </c>
      <c r="BQ791" s="1787" t="s">
        <v>67</v>
      </c>
      <c r="BR791" s="1787" t="s">
        <v>67</v>
      </c>
      <c r="BS791" s="1787" t="s">
        <v>67</v>
      </c>
      <c r="BT791" s="1787" t="s">
        <v>67</v>
      </c>
      <c r="BU791" s="1787" t="s">
        <v>67</v>
      </c>
      <c r="BV791" s="1787" t="s">
        <v>67</v>
      </c>
      <c r="BW791" s="1785" t="s">
        <v>67</v>
      </c>
      <c r="BX791" s="13"/>
      <c r="BY791" s="22"/>
      <c r="BZ791" s="22"/>
      <c r="CA791" s="22"/>
      <c r="CB791" s="22"/>
      <c r="CC791" s="22"/>
      <c r="CD791" s="22"/>
      <c r="CE791" s="1246" t="s">
        <v>3947</v>
      </c>
      <c r="CF791" s="866"/>
    </row>
    <row r="792" spans="1:84" ht="135" hidden="1" customHeight="1">
      <c r="A792" s="1467"/>
      <c r="B792" s="22"/>
      <c r="C792" s="22"/>
      <c r="D792" s="22"/>
      <c r="E792" s="921"/>
      <c r="F792" s="921"/>
      <c r="G792" s="925"/>
      <c r="H792" s="1793"/>
      <c r="I792" s="331"/>
      <c r="J792" s="331"/>
      <c r="K792" s="169">
        <v>2024</v>
      </c>
      <c r="L792" s="1446">
        <v>242010</v>
      </c>
      <c r="M792" s="1446"/>
      <c r="N792" s="170" t="s">
        <v>165</v>
      </c>
      <c r="O792" s="178" t="s">
        <v>6612</v>
      </c>
      <c r="P792" s="172" t="s">
        <v>45</v>
      </c>
      <c r="Q792" s="1491" t="s">
        <v>6669</v>
      </c>
      <c r="R792" s="173" t="s">
        <v>1975</v>
      </c>
      <c r="S792" s="586">
        <f>177450*1.16</f>
        <v>205842</v>
      </c>
      <c r="T792" s="582">
        <v>45502</v>
      </c>
      <c r="U792" s="176">
        <v>45503</v>
      </c>
      <c r="V792" s="177">
        <v>45517</v>
      </c>
      <c r="W792" s="667"/>
      <c r="X792" s="178" t="s">
        <v>6670</v>
      </c>
      <c r="Y792" s="170" t="s">
        <v>212</v>
      </c>
      <c r="Z792" s="1771" t="s">
        <v>67</v>
      </c>
      <c r="AA792" s="1772" t="s">
        <v>67</v>
      </c>
      <c r="AB792" s="33"/>
      <c r="AC792" s="8"/>
      <c r="AD792" s="4"/>
      <c r="AE792" s="4"/>
      <c r="AF792" s="32"/>
      <c r="AG792" s="1773" t="s">
        <v>67</v>
      </c>
      <c r="AH792" s="1774" t="s">
        <v>67</v>
      </c>
      <c r="AI792" s="1774" t="s">
        <v>67</v>
      </c>
      <c r="AJ792" s="1775" t="s">
        <v>67</v>
      </c>
      <c r="AK792" s="1776" t="s">
        <v>67</v>
      </c>
      <c r="AL792" s="1777" t="s">
        <v>67</v>
      </c>
      <c r="AM792" s="1680" t="s">
        <v>67</v>
      </c>
      <c r="AN792" s="1704"/>
      <c r="AO792" s="1680" t="s">
        <v>67</v>
      </c>
      <c r="AP792" s="1704"/>
      <c r="AQ792" s="1680" t="s">
        <v>67</v>
      </c>
      <c r="AR792" s="1704"/>
      <c r="AS792" s="1778"/>
      <c r="AT792" s="1779">
        <v>0</v>
      </c>
      <c r="AU792" s="1780">
        <v>0</v>
      </c>
      <c r="AV792" s="1781">
        <v>0</v>
      </c>
      <c r="AW792" s="1782" t="s">
        <v>67</v>
      </c>
      <c r="AX792" s="1701" t="s">
        <v>67</v>
      </c>
      <c r="AY792" s="1702" t="s">
        <v>67</v>
      </c>
      <c r="AZ792" s="1703" t="s">
        <v>67</v>
      </c>
      <c r="BA792" s="30" t="s">
        <v>67</v>
      </c>
      <c r="BB792" s="5"/>
      <c r="BC792" s="5"/>
      <c r="BD792" s="11"/>
      <c r="BE792" s="30" t="s">
        <v>67</v>
      </c>
      <c r="BF792" s="310"/>
      <c r="BG792" s="5"/>
      <c r="BH792" s="5"/>
      <c r="BI792" s="5"/>
      <c r="BJ792" s="36"/>
      <c r="BK792" s="1784" t="s">
        <v>67</v>
      </c>
      <c r="BL792" s="1139"/>
      <c r="BM792" s="1785" t="s">
        <v>67</v>
      </c>
      <c r="BN792" s="1786" t="s">
        <v>67</v>
      </c>
      <c r="BO792" s="1786" t="s">
        <v>67</v>
      </c>
      <c r="BP792" s="1787" t="s">
        <v>67</v>
      </c>
      <c r="BQ792" s="1787" t="s">
        <v>67</v>
      </c>
      <c r="BR792" s="1787" t="s">
        <v>67</v>
      </c>
      <c r="BS792" s="1787" t="s">
        <v>67</v>
      </c>
      <c r="BT792" s="1787" t="s">
        <v>67</v>
      </c>
      <c r="BU792" s="1787" t="s">
        <v>67</v>
      </c>
      <c r="BV792" s="1787" t="s">
        <v>67</v>
      </c>
      <c r="BW792" s="1785" t="s">
        <v>67</v>
      </c>
      <c r="BX792" s="13"/>
      <c r="BY792" s="22"/>
      <c r="BZ792" s="22"/>
      <c r="CA792" s="22"/>
      <c r="CB792" s="22"/>
      <c r="CC792" s="22"/>
      <c r="CD792" s="22"/>
      <c r="CE792" s="1246" t="s">
        <v>3947</v>
      </c>
      <c r="CF792" s="866"/>
    </row>
    <row r="793" spans="1:84" ht="71.25" hidden="1" customHeight="1">
      <c r="A793" s="1467"/>
      <c r="B793" s="22"/>
      <c r="C793" s="22"/>
      <c r="D793" s="22"/>
      <c r="E793" s="921"/>
      <c r="F793" s="921"/>
      <c r="G793" s="925"/>
      <c r="H793" s="1793"/>
      <c r="I793" s="331"/>
      <c r="J793" s="331"/>
      <c r="K793" s="169">
        <v>2024</v>
      </c>
      <c r="L793" s="1446">
        <v>242010</v>
      </c>
      <c r="M793" s="1446"/>
      <c r="N793" s="170" t="s">
        <v>165</v>
      </c>
      <c r="O793" s="178" t="s">
        <v>6611</v>
      </c>
      <c r="P793" s="172" t="s">
        <v>45</v>
      </c>
      <c r="Q793" s="1491" t="s">
        <v>6671</v>
      </c>
      <c r="R793" s="173" t="s">
        <v>4412</v>
      </c>
      <c r="S793" s="586">
        <f>24500*1.16</f>
        <v>28419.999999999996</v>
      </c>
      <c r="T793" s="582">
        <v>45520</v>
      </c>
      <c r="U793" s="176">
        <v>45524</v>
      </c>
      <c r="V793" s="177">
        <v>45530</v>
      </c>
      <c r="W793" s="667"/>
      <c r="X793" s="178" t="s">
        <v>6670</v>
      </c>
      <c r="Y793" s="170" t="s">
        <v>6459</v>
      </c>
      <c r="Z793" s="1771" t="s">
        <v>67</v>
      </c>
      <c r="AA793" s="1772" t="s">
        <v>67</v>
      </c>
      <c r="AB793" s="33"/>
      <c r="AC793" s="8"/>
      <c r="AD793" s="4"/>
      <c r="AE793" s="4"/>
      <c r="AF793" s="32"/>
      <c r="AG793" s="1773" t="s">
        <v>67</v>
      </c>
      <c r="AH793" s="1774" t="s">
        <v>67</v>
      </c>
      <c r="AI793" s="1774" t="s">
        <v>67</v>
      </c>
      <c r="AJ793" s="1775" t="s">
        <v>67</v>
      </c>
      <c r="AK793" s="1776" t="s">
        <v>67</v>
      </c>
      <c r="AL793" s="1777" t="s">
        <v>67</v>
      </c>
      <c r="AM793" s="1680" t="s">
        <v>67</v>
      </c>
      <c r="AN793" s="1704"/>
      <c r="AO793" s="1680" t="s">
        <v>67</v>
      </c>
      <c r="AP793" s="1704"/>
      <c r="AQ793" s="1680" t="s">
        <v>67</v>
      </c>
      <c r="AR793" s="1704"/>
      <c r="AS793" s="1778"/>
      <c r="AT793" s="1779">
        <v>0</v>
      </c>
      <c r="AU793" s="1780">
        <v>0</v>
      </c>
      <c r="AV793" s="1781">
        <v>0</v>
      </c>
      <c r="AW793" s="1782" t="s">
        <v>67</v>
      </c>
      <c r="AX793" s="1701" t="s">
        <v>67</v>
      </c>
      <c r="AY793" s="1702" t="s">
        <v>67</v>
      </c>
      <c r="AZ793" s="1703" t="s">
        <v>67</v>
      </c>
      <c r="BA793" s="30" t="s">
        <v>67</v>
      </c>
      <c r="BB793" s="5"/>
      <c r="BC793" s="5"/>
      <c r="BD793" s="11"/>
      <c r="BE793" s="30" t="s">
        <v>67</v>
      </c>
      <c r="BF793" s="310"/>
      <c r="BG793" s="5"/>
      <c r="BH793" s="5"/>
      <c r="BI793" s="5"/>
      <c r="BJ793" s="36"/>
      <c r="BK793" s="1784" t="s">
        <v>67</v>
      </c>
      <c r="BL793" s="1139"/>
      <c r="BM793" s="1785" t="s">
        <v>67</v>
      </c>
      <c r="BN793" s="1786" t="s">
        <v>67</v>
      </c>
      <c r="BO793" s="1786" t="s">
        <v>67</v>
      </c>
      <c r="BP793" s="1787" t="s">
        <v>67</v>
      </c>
      <c r="BQ793" s="1787" t="s">
        <v>67</v>
      </c>
      <c r="BR793" s="1787" t="s">
        <v>67</v>
      </c>
      <c r="BS793" s="1787" t="s">
        <v>67</v>
      </c>
      <c r="BT793" s="1787" t="s">
        <v>67</v>
      </c>
      <c r="BU793" s="1787" t="s">
        <v>67</v>
      </c>
      <c r="BV793" s="1787" t="s">
        <v>67</v>
      </c>
      <c r="BW793" s="1785" t="s">
        <v>67</v>
      </c>
      <c r="BX793" s="13"/>
      <c r="BY793" s="22"/>
      <c r="BZ793" s="22"/>
      <c r="CA793" s="22"/>
      <c r="CB793" s="22"/>
      <c r="CC793" s="22"/>
      <c r="CD793" s="22"/>
      <c r="CE793" s="1246" t="s">
        <v>3947</v>
      </c>
      <c r="CF793" s="866"/>
    </row>
    <row r="794" spans="1:84" ht="63" hidden="1" customHeight="1">
      <c r="A794" s="1467"/>
      <c r="B794" s="22"/>
      <c r="C794" s="22"/>
      <c r="D794" s="22"/>
      <c r="E794" s="921"/>
      <c r="F794" s="921"/>
      <c r="G794" s="925"/>
      <c r="H794" s="1793"/>
      <c r="I794" s="331"/>
      <c r="J794" s="331"/>
      <c r="K794" s="169">
        <v>2024</v>
      </c>
      <c r="L794" s="1446">
        <v>242010</v>
      </c>
      <c r="M794" s="1446"/>
      <c r="N794" s="170" t="s">
        <v>165</v>
      </c>
      <c r="O794" s="178" t="s">
        <v>6613</v>
      </c>
      <c r="P794" s="172" t="s">
        <v>45</v>
      </c>
      <c r="Q794" s="1491" t="s">
        <v>6672</v>
      </c>
      <c r="R794" s="173" t="s">
        <v>1975</v>
      </c>
      <c r="S794" s="586">
        <f>12000*1.16</f>
        <v>13919.999999999998</v>
      </c>
      <c r="T794" s="582">
        <v>45520</v>
      </c>
      <c r="U794" s="176">
        <v>45523</v>
      </c>
      <c r="V794" s="177">
        <v>45524</v>
      </c>
      <c r="W794" s="667"/>
      <c r="X794" s="178" t="s">
        <v>3961</v>
      </c>
      <c r="Y794" s="170" t="s">
        <v>6459</v>
      </c>
      <c r="Z794" s="1771" t="s">
        <v>67</v>
      </c>
      <c r="AA794" s="1772" t="s">
        <v>67</v>
      </c>
      <c r="AB794" s="33"/>
      <c r="AC794" s="8"/>
      <c r="AD794" s="4"/>
      <c r="AE794" s="4"/>
      <c r="AF794" s="32"/>
      <c r="AG794" s="1773" t="s">
        <v>67</v>
      </c>
      <c r="AH794" s="1774" t="s">
        <v>67</v>
      </c>
      <c r="AI794" s="1774" t="s">
        <v>67</v>
      </c>
      <c r="AJ794" s="1775" t="s">
        <v>67</v>
      </c>
      <c r="AK794" s="1776" t="s">
        <v>67</v>
      </c>
      <c r="AL794" s="1777" t="s">
        <v>67</v>
      </c>
      <c r="AM794" s="1680" t="s">
        <v>67</v>
      </c>
      <c r="AN794" s="1704"/>
      <c r="AO794" s="1680" t="s">
        <v>67</v>
      </c>
      <c r="AP794" s="1704"/>
      <c r="AQ794" s="1680" t="s">
        <v>67</v>
      </c>
      <c r="AR794" s="1704"/>
      <c r="AS794" s="1778"/>
      <c r="AT794" s="1779">
        <v>0</v>
      </c>
      <c r="AU794" s="1780">
        <v>0</v>
      </c>
      <c r="AV794" s="1781">
        <v>0</v>
      </c>
      <c r="AW794" s="1782" t="s">
        <v>67</v>
      </c>
      <c r="AX794" s="1701" t="s">
        <v>67</v>
      </c>
      <c r="AY794" s="1702" t="s">
        <v>67</v>
      </c>
      <c r="AZ794" s="1703" t="s">
        <v>67</v>
      </c>
      <c r="BA794" s="30" t="s">
        <v>67</v>
      </c>
      <c r="BB794" s="5"/>
      <c r="BC794" s="5"/>
      <c r="BD794" s="11"/>
      <c r="BE794" s="30" t="s">
        <v>67</v>
      </c>
      <c r="BF794" s="310"/>
      <c r="BG794" s="5"/>
      <c r="BH794" s="5"/>
      <c r="BI794" s="5"/>
      <c r="BJ794" s="36"/>
      <c r="BK794" s="1784" t="s">
        <v>67</v>
      </c>
      <c r="BL794" s="1139"/>
      <c r="BM794" s="1785" t="s">
        <v>67</v>
      </c>
      <c r="BN794" s="1786" t="s">
        <v>67</v>
      </c>
      <c r="BO794" s="1786" t="s">
        <v>67</v>
      </c>
      <c r="BP794" s="1787" t="s">
        <v>67</v>
      </c>
      <c r="BQ794" s="1787" t="s">
        <v>67</v>
      </c>
      <c r="BR794" s="1787" t="s">
        <v>67</v>
      </c>
      <c r="BS794" s="1787" t="s">
        <v>67</v>
      </c>
      <c r="BT794" s="1787" t="s">
        <v>67</v>
      </c>
      <c r="BU794" s="1787" t="s">
        <v>67</v>
      </c>
      <c r="BV794" s="1787" t="s">
        <v>67</v>
      </c>
      <c r="BW794" s="1785" t="s">
        <v>67</v>
      </c>
      <c r="BX794" s="13"/>
      <c r="BY794" s="22"/>
      <c r="BZ794" s="22"/>
      <c r="CA794" s="22"/>
      <c r="CB794" s="22"/>
      <c r="CC794" s="22"/>
      <c r="CD794" s="22"/>
      <c r="CE794" s="1246" t="s">
        <v>3947</v>
      </c>
      <c r="CF794" s="866"/>
    </row>
    <row r="795" spans="1:84" ht="95.25" hidden="1" customHeight="1">
      <c r="A795" s="1467"/>
      <c r="B795" s="22"/>
      <c r="C795" s="22"/>
      <c r="D795" s="22"/>
      <c r="E795" s="921"/>
      <c r="F795" s="921"/>
      <c r="G795" s="925"/>
      <c r="H795" s="1793"/>
      <c r="I795" s="331"/>
      <c r="J795" s="331"/>
      <c r="K795" s="169">
        <v>2024</v>
      </c>
      <c r="L795" s="1446">
        <v>242010</v>
      </c>
      <c r="M795" s="1446"/>
      <c r="N795" s="170" t="s">
        <v>165</v>
      </c>
      <c r="O795" s="178" t="s">
        <v>6614</v>
      </c>
      <c r="P795" s="172" t="s">
        <v>45</v>
      </c>
      <c r="Q795" s="1491" t="s">
        <v>6673</v>
      </c>
      <c r="R795" s="173" t="s">
        <v>4827</v>
      </c>
      <c r="S795" s="586">
        <f>28000*1.16</f>
        <v>32479.999999999996</v>
      </c>
      <c r="T795" s="582">
        <v>45533</v>
      </c>
      <c r="U795" s="176">
        <v>45537</v>
      </c>
      <c r="V795" s="177">
        <v>45538</v>
      </c>
      <c r="W795" s="667"/>
      <c r="X795" s="178" t="s">
        <v>3963</v>
      </c>
      <c r="Y795" s="170" t="s">
        <v>6459</v>
      </c>
      <c r="Z795" s="1771" t="s">
        <v>67</v>
      </c>
      <c r="AA795" s="1772" t="s">
        <v>67</v>
      </c>
      <c r="AB795" s="33"/>
      <c r="AC795" s="8"/>
      <c r="AD795" s="4"/>
      <c r="AE795" s="4"/>
      <c r="AF795" s="32"/>
      <c r="AG795" s="1773" t="s">
        <v>67</v>
      </c>
      <c r="AH795" s="1774" t="s">
        <v>67</v>
      </c>
      <c r="AI795" s="1774" t="s">
        <v>67</v>
      </c>
      <c r="AJ795" s="1775" t="s">
        <v>67</v>
      </c>
      <c r="AK795" s="1776" t="s">
        <v>67</v>
      </c>
      <c r="AL795" s="1777" t="s">
        <v>67</v>
      </c>
      <c r="AM795" s="1680" t="s">
        <v>67</v>
      </c>
      <c r="AN795" s="1704"/>
      <c r="AO795" s="1680" t="s">
        <v>67</v>
      </c>
      <c r="AP795" s="1704"/>
      <c r="AQ795" s="1680" t="s">
        <v>67</v>
      </c>
      <c r="AR795" s="1704"/>
      <c r="AS795" s="1778"/>
      <c r="AT795" s="1779">
        <v>0</v>
      </c>
      <c r="AU795" s="1780">
        <v>0</v>
      </c>
      <c r="AV795" s="1781">
        <v>0</v>
      </c>
      <c r="AW795" s="1782" t="s">
        <v>67</v>
      </c>
      <c r="AX795" s="1701" t="s">
        <v>67</v>
      </c>
      <c r="AY795" s="1702" t="s">
        <v>67</v>
      </c>
      <c r="AZ795" s="1703" t="s">
        <v>67</v>
      </c>
      <c r="BA795" s="30" t="s">
        <v>67</v>
      </c>
      <c r="BB795" s="5"/>
      <c r="BC795" s="5"/>
      <c r="BD795" s="11"/>
      <c r="BE795" s="30" t="s">
        <v>67</v>
      </c>
      <c r="BF795" s="310"/>
      <c r="BG795" s="5"/>
      <c r="BH795" s="5"/>
      <c r="BI795" s="5"/>
      <c r="BJ795" s="36"/>
      <c r="BK795" s="1784" t="s">
        <v>67</v>
      </c>
      <c r="BL795" s="1139"/>
      <c r="BM795" s="1785" t="s">
        <v>67</v>
      </c>
      <c r="BN795" s="1786" t="s">
        <v>67</v>
      </c>
      <c r="BO795" s="1786" t="s">
        <v>67</v>
      </c>
      <c r="BP795" s="1787" t="s">
        <v>67</v>
      </c>
      <c r="BQ795" s="1787" t="s">
        <v>67</v>
      </c>
      <c r="BR795" s="1787" t="s">
        <v>67</v>
      </c>
      <c r="BS795" s="1787" t="s">
        <v>67</v>
      </c>
      <c r="BT795" s="1787" t="s">
        <v>67</v>
      </c>
      <c r="BU795" s="1787" t="s">
        <v>67</v>
      </c>
      <c r="BV795" s="1787" t="s">
        <v>67</v>
      </c>
      <c r="BW795" s="1785" t="s">
        <v>67</v>
      </c>
      <c r="BX795" s="13"/>
      <c r="BY795" s="22"/>
      <c r="BZ795" s="22"/>
      <c r="CA795" s="22"/>
      <c r="CB795" s="22"/>
      <c r="CC795" s="22"/>
      <c r="CD795" s="22"/>
      <c r="CE795" s="1246" t="s">
        <v>3947</v>
      </c>
      <c r="CF795" s="866"/>
    </row>
    <row r="796" spans="1:84" ht="101.25" hidden="1" customHeight="1">
      <c r="A796" s="1467"/>
      <c r="B796" s="22"/>
      <c r="C796" s="22"/>
      <c r="D796" s="22"/>
      <c r="E796" s="921"/>
      <c r="F796" s="921"/>
      <c r="G796" s="925"/>
      <c r="H796" s="1793"/>
      <c r="I796" s="331"/>
      <c r="J796" s="331"/>
      <c r="K796" s="169">
        <v>2024</v>
      </c>
      <c r="L796" s="1446">
        <v>242010</v>
      </c>
      <c r="M796" s="1446"/>
      <c r="N796" s="170" t="s">
        <v>165</v>
      </c>
      <c r="O796" s="178" t="s">
        <v>6615</v>
      </c>
      <c r="P796" s="172" t="s">
        <v>45</v>
      </c>
      <c r="Q796" s="1491" t="s">
        <v>6711</v>
      </c>
      <c r="R796" s="173" t="s">
        <v>1975</v>
      </c>
      <c r="S796" s="586">
        <f>25970*1.16</f>
        <v>30125.199999999997</v>
      </c>
      <c r="T796" s="582">
        <v>45533</v>
      </c>
      <c r="U796" s="176">
        <v>45539</v>
      </c>
      <c r="V796" s="177">
        <v>45540</v>
      </c>
      <c r="W796" s="667"/>
      <c r="X796" s="178" t="s">
        <v>3963</v>
      </c>
      <c r="Y796" s="170" t="s">
        <v>6459</v>
      </c>
      <c r="Z796" s="1771" t="s">
        <v>67</v>
      </c>
      <c r="AA796" s="1772" t="s">
        <v>67</v>
      </c>
      <c r="AB796" s="33"/>
      <c r="AC796" s="8"/>
      <c r="AD796" s="4"/>
      <c r="AE796" s="4"/>
      <c r="AF796" s="32"/>
      <c r="AG796" s="1773" t="s">
        <v>67</v>
      </c>
      <c r="AH796" s="1774" t="s">
        <v>67</v>
      </c>
      <c r="AI796" s="1774" t="s">
        <v>67</v>
      </c>
      <c r="AJ796" s="1775" t="s">
        <v>67</v>
      </c>
      <c r="AK796" s="1776" t="s">
        <v>67</v>
      </c>
      <c r="AL796" s="1777" t="s">
        <v>67</v>
      </c>
      <c r="AM796" s="1680" t="s">
        <v>67</v>
      </c>
      <c r="AN796" s="1704"/>
      <c r="AO796" s="1680" t="s">
        <v>67</v>
      </c>
      <c r="AP796" s="1704"/>
      <c r="AQ796" s="1680" t="s">
        <v>67</v>
      </c>
      <c r="AR796" s="1704"/>
      <c r="AS796" s="1778"/>
      <c r="AT796" s="1779">
        <v>0</v>
      </c>
      <c r="AU796" s="1780">
        <v>0</v>
      </c>
      <c r="AV796" s="1781">
        <v>0</v>
      </c>
      <c r="AW796" s="1782" t="s">
        <v>67</v>
      </c>
      <c r="AX796" s="1701" t="s">
        <v>67</v>
      </c>
      <c r="AY796" s="1702" t="s">
        <v>67</v>
      </c>
      <c r="AZ796" s="1703" t="s">
        <v>67</v>
      </c>
      <c r="BA796" s="30" t="s">
        <v>67</v>
      </c>
      <c r="BB796" s="5"/>
      <c r="BC796" s="5"/>
      <c r="BD796" s="11"/>
      <c r="BE796" s="30" t="s">
        <v>67</v>
      </c>
      <c r="BF796" s="310"/>
      <c r="BG796" s="5"/>
      <c r="BH796" s="5"/>
      <c r="BI796" s="5"/>
      <c r="BJ796" s="36"/>
      <c r="BK796" s="1784" t="s">
        <v>67</v>
      </c>
      <c r="BL796" s="1139"/>
      <c r="BM796" s="1785" t="s">
        <v>67</v>
      </c>
      <c r="BN796" s="1786" t="s">
        <v>67</v>
      </c>
      <c r="BO796" s="1786" t="s">
        <v>67</v>
      </c>
      <c r="BP796" s="1787" t="s">
        <v>67</v>
      </c>
      <c r="BQ796" s="1787" t="s">
        <v>67</v>
      </c>
      <c r="BR796" s="1787" t="s">
        <v>67</v>
      </c>
      <c r="BS796" s="1787" t="s">
        <v>67</v>
      </c>
      <c r="BT796" s="1787" t="s">
        <v>67</v>
      </c>
      <c r="BU796" s="1787" t="s">
        <v>67</v>
      </c>
      <c r="BV796" s="1787" t="s">
        <v>67</v>
      </c>
      <c r="BW796" s="1785" t="s">
        <v>67</v>
      </c>
      <c r="BX796" s="13"/>
      <c r="BY796" s="22"/>
      <c r="BZ796" s="22"/>
      <c r="CA796" s="22"/>
      <c r="CB796" s="22"/>
      <c r="CC796" s="22"/>
      <c r="CD796" s="22"/>
      <c r="CE796" s="1246" t="s">
        <v>3947</v>
      </c>
      <c r="CF796" s="866"/>
    </row>
    <row r="797" spans="1:84" ht="87" hidden="1" customHeight="1">
      <c r="A797" s="1467"/>
      <c r="B797" s="22"/>
      <c r="C797" s="22"/>
      <c r="D797" s="22"/>
      <c r="E797" s="921"/>
      <c r="F797" s="921"/>
      <c r="G797" s="925">
        <v>1</v>
      </c>
      <c r="H797" s="1793" t="s">
        <v>67</v>
      </c>
      <c r="I797" s="331"/>
      <c r="J797" s="331"/>
      <c r="K797" s="169">
        <v>2024</v>
      </c>
      <c r="L797" s="1446">
        <v>243001</v>
      </c>
      <c r="M797" s="1446"/>
      <c r="N797" s="170" t="s">
        <v>165</v>
      </c>
      <c r="O797" s="178" t="s">
        <v>6616</v>
      </c>
      <c r="P797" s="172" t="s">
        <v>46</v>
      </c>
      <c r="Q797" s="173" t="s">
        <v>6681</v>
      </c>
      <c r="R797" s="173" t="s">
        <v>4412</v>
      </c>
      <c r="S797" s="586">
        <f>3400*1.16</f>
        <v>3943.9999999999995</v>
      </c>
      <c r="T797" s="582">
        <v>45341</v>
      </c>
      <c r="U797" s="176">
        <v>45343</v>
      </c>
      <c r="V797" s="177">
        <v>45349</v>
      </c>
      <c r="W797" s="667"/>
      <c r="X797" s="178" t="s">
        <v>738</v>
      </c>
      <c r="Y797" s="170" t="s">
        <v>1106</v>
      </c>
      <c r="Z797" s="1771" t="s">
        <v>67</v>
      </c>
      <c r="AA797" s="1772" t="s">
        <v>67</v>
      </c>
      <c r="AB797" s="256"/>
      <c r="AC797" s="8"/>
      <c r="AD797" s="4"/>
      <c r="AE797" s="4"/>
      <c r="AF797" s="32"/>
      <c r="AG797" s="1773" t="s">
        <v>67</v>
      </c>
      <c r="AH797" s="1774" t="s">
        <v>67</v>
      </c>
      <c r="AI797" s="1774" t="s">
        <v>67</v>
      </c>
      <c r="AJ797" s="1775" t="s">
        <v>67</v>
      </c>
      <c r="AK797" s="1776" t="s">
        <v>67</v>
      </c>
      <c r="AL797" s="1777" t="s">
        <v>67</v>
      </c>
      <c r="AM797" s="1680" t="s">
        <v>67</v>
      </c>
      <c r="AN797" s="1704"/>
      <c r="AO797" s="1680" t="s">
        <v>67</v>
      </c>
      <c r="AP797" s="1704"/>
      <c r="AQ797" s="1680" t="s">
        <v>67</v>
      </c>
      <c r="AR797" s="1704"/>
      <c r="AS797" s="1778"/>
      <c r="AT797" s="1779">
        <v>0</v>
      </c>
      <c r="AU797" s="1780">
        <v>0</v>
      </c>
      <c r="AV797" s="1781">
        <v>0</v>
      </c>
      <c r="AW797" s="1782" t="s">
        <v>67</v>
      </c>
      <c r="AX797" s="1701" t="s">
        <v>67</v>
      </c>
      <c r="AY797" s="1702" t="s">
        <v>67</v>
      </c>
      <c r="AZ797" s="1703" t="s">
        <v>67</v>
      </c>
      <c r="BA797" s="231"/>
      <c r="BB797" s="5"/>
      <c r="BC797" s="5"/>
      <c r="BD797" s="11"/>
      <c r="BE797" s="231"/>
      <c r="BF797" s="509"/>
      <c r="BG797" s="5"/>
      <c r="BH797" s="5"/>
      <c r="BI797" s="5"/>
      <c r="BJ797" s="64"/>
      <c r="BK797" s="1784" t="s">
        <v>67</v>
      </c>
      <c r="BL797" s="1139"/>
      <c r="BM797" s="1785" t="s">
        <v>67</v>
      </c>
      <c r="BN797" s="1786" t="s">
        <v>67</v>
      </c>
      <c r="BO797" s="1786" t="s">
        <v>67</v>
      </c>
      <c r="BP797" s="1787" t="s">
        <v>67</v>
      </c>
      <c r="BQ797" s="1787" t="s">
        <v>67</v>
      </c>
      <c r="BR797" s="1787" t="s">
        <v>67</v>
      </c>
      <c r="BS797" s="1787" t="s">
        <v>67</v>
      </c>
      <c r="BT797" s="1787" t="s">
        <v>67</v>
      </c>
      <c r="BU797" s="1787" t="s">
        <v>67</v>
      </c>
      <c r="BV797" s="1787" t="s">
        <v>67</v>
      </c>
      <c r="BW797" s="1785" t="s">
        <v>67</v>
      </c>
      <c r="BX797" s="13"/>
      <c r="BY797" s="22"/>
      <c r="BZ797" s="22"/>
      <c r="CA797" s="22"/>
      <c r="CB797" s="22"/>
      <c r="CC797" s="22"/>
      <c r="CD797" s="22"/>
      <c r="CE797" s="1246" t="s">
        <v>3947</v>
      </c>
      <c r="CF797" s="866" t="s">
        <v>6674</v>
      </c>
    </row>
    <row r="798" spans="1:84" ht="90" hidden="1" customHeight="1">
      <c r="A798" s="1467"/>
      <c r="B798" s="22"/>
      <c r="C798" s="22"/>
      <c r="D798" s="22"/>
      <c r="E798" s="921"/>
      <c r="F798" s="921"/>
      <c r="G798" s="925"/>
      <c r="H798" s="1793" t="s">
        <v>67</v>
      </c>
      <c r="I798" s="331"/>
      <c r="J798" s="331"/>
      <c r="K798" s="169">
        <v>2024</v>
      </c>
      <c r="L798" s="1446">
        <v>243002</v>
      </c>
      <c r="M798" s="1446"/>
      <c r="N798" s="170" t="s">
        <v>165</v>
      </c>
      <c r="O798" s="178" t="s">
        <v>6617</v>
      </c>
      <c r="P798" s="172" t="s">
        <v>46</v>
      </c>
      <c r="Q798" s="173" t="s">
        <v>6675</v>
      </c>
      <c r="R798" s="173" t="s">
        <v>1975</v>
      </c>
      <c r="S798" s="586">
        <f>1900*1.16</f>
        <v>2204</v>
      </c>
      <c r="T798" s="582">
        <v>45345</v>
      </c>
      <c r="U798" s="176">
        <v>45348</v>
      </c>
      <c r="V798" s="177">
        <v>45350</v>
      </c>
      <c r="W798" s="667"/>
      <c r="X798" s="178" t="s">
        <v>738</v>
      </c>
      <c r="Y798" s="170" t="s">
        <v>6459</v>
      </c>
      <c r="Z798" s="1771" t="s">
        <v>67</v>
      </c>
      <c r="AA798" s="1772" t="s">
        <v>67</v>
      </c>
      <c r="AB798" s="256"/>
      <c r="AC798" s="8"/>
      <c r="AD798" s="4"/>
      <c r="AE798" s="4"/>
      <c r="AF798" s="32"/>
      <c r="AG798" s="1773" t="s">
        <v>67</v>
      </c>
      <c r="AH798" s="1774" t="s">
        <v>67</v>
      </c>
      <c r="AI798" s="1774" t="s">
        <v>67</v>
      </c>
      <c r="AJ798" s="1775" t="s">
        <v>67</v>
      </c>
      <c r="AK798" s="1776" t="s">
        <v>67</v>
      </c>
      <c r="AL798" s="1777" t="s">
        <v>67</v>
      </c>
      <c r="AM798" s="1680" t="s">
        <v>67</v>
      </c>
      <c r="AN798" s="1704"/>
      <c r="AO798" s="1680" t="s">
        <v>67</v>
      </c>
      <c r="AP798" s="1704"/>
      <c r="AQ798" s="1680" t="s">
        <v>67</v>
      </c>
      <c r="AR798" s="1704"/>
      <c r="AS798" s="1778"/>
      <c r="AT798" s="1779">
        <v>0</v>
      </c>
      <c r="AU798" s="1780">
        <v>0</v>
      </c>
      <c r="AV798" s="1781">
        <v>0</v>
      </c>
      <c r="AW798" s="1782" t="s">
        <v>67</v>
      </c>
      <c r="AX798" s="1701" t="s">
        <v>67</v>
      </c>
      <c r="AY798" s="1702" t="s">
        <v>67</v>
      </c>
      <c r="AZ798" s="1703" t="s">
        <v>67</v>
      </c>
      <c r="BA798" s="231"/>
      <c r="BB798" s="5"/>
      <c r="BC798" s="5"/>
      <c r="BD798" s="11"/>
      <c r="BE798" s="231"/>
      <c r="BF798" s="509"/>
      <c r="BG798" s="5"/>
      <c r="BH798" s="5"/>
      <c r="BI798" s="5"/>
      <c r="BJ798" s="64"/>
      <c r="BK798" s="1784" t="s">
        <v>67</v>
      </c>
      <c r="BL798" s="1139"/>
      <c r="BM798" s="1785" t="s">
        <v>67</v>
      </c>
      <c r="BN798" s="1786" t="s">
        <v>67</v>
      </c>
      <c r="BO798" s="1786" t="s">
        <v>67</v>
      </c>
      <c r="BP798" s="1787" t="s">
        <v>67</v>
      </c>
      <c r="BQ798" s="1787" t="s">
        <v>67</v>
      </c>
      <c r="BR798" s="1787" t="s">
        <v>67</v>
      </c>
      <c r="BS798" s="1787" t="s">
        <v>67</v>
      </c>
      <c r="BT798" s="1787" t="s">
        <v>67</v>
      </c>
      <c r="BU798" s="1787" t="s">
        <v>67</v>
      </c>
      <c r="BV798" s="1787" t="s">
        <v>67</v>
      </c>
      <c r="BW798" s="1785" t="s">
        <v>67</v>
      </c>
      <c r="BX798" s="13"/>
      <c r="BY798" s="22"/>
      <c r="BZ798" s="22"/>
      <c r="CA798" s="22"/>
      <c r="CB798" s="22"/>
      <c r="CC798" s="22"/>
      <c r="CD798" s="22"/>
      <c r="CE798" s="1246" t="s">
        <v>3947</v>
      </c>
      <c r="CF798" s="866" t="s">
        <v>6676</v>
      </c>
    </row>
    <row r="799" spans="1:84" ht="101.25" hidden="1" customHeight="1">
      <c r="A799" s="1467"/>
      <c r="B799" s="22"/>
      <c r="C799" s="22"/>
      <c r="D799" s="22"/>
      <c r="E799" s="921"/>
      <c r="F799" s="921"/>
      <c r="G799" s="925"/>
      <c r="H799" s="1793" t="s">
        <v>67</v>
      </c>
      <c r="I799" s="331"/>
      <c r="J799" s="331"/>
      <c r="K799" s="169">
        <v>2024</v>
      </c>
      <c r="L799" s="1446">
        <v>243003</v>
      </c>
      <c r="M799" s="1446"/>
      <c r="N799" s="170" t="s">
        <v>165</v>
      </c>
      <c r="O799" s="178" t="s">
        <v>6618</v>
      </c>
      <c r="P799" s="172" t="s">
        <v>46</v>
      </c>
      <c r="Q799" s="173" t="s">
        <v>6677</v>
      </c>
      <c r="R799" s="173" t="s">
        <v>3626</v>
      </c>
      <c r="S799" s="586">
        <f>600*1.16</f>
        <v>696</v>
      </c>
      <c r="T799" s="582">
        <v>45345</v>
      </c>
      <c r="U799" s="176">
        <v>45348</v>
      </c>
      <c r="V799" s="177">
        <v>45353</v>
      </c>
      <c r="W799" s="667"/>
      <c r="X799" s="178" t="s">
        <v>4365</v>
      </c>
      <c r="Y799" s="170" t="s">
        <v>6459</v>
      </c>
      <c r="Z799" s="1771" t="s">
        <v>67</v>
      </c>
      <c r="AA799" s="1772" t="s">
        <v>67</v>
      </c>
      <c r="AB799" s="256"/>
      <c r="AC799" s="8"/>
      <c r="AD799" s="4"/>
      <c r="AE799" s="4"/>
      <c r="AF799" s="32"/>
      <c r="AG799" s="1773" t="s">
        <v>67</v>
      </c>
      <c r="AH799" s="1774" t="s">
        <v>67</v>
      </c>
      <c r="AI799" s="1774" t="s">
        <v>67</v>
      </c>
      <c r="AJ799" s="1775" t="s">
        <v>67</v>
      </c>
      <c r="AK799" s="1776" t="s">
        <v>67</v>
      </c>
      <c r="AL799" s="1777" t="s">
        <v>67</v>
      </c>
      <c r="AM799" s="1680" t="s">
        <v>67</v>
      </c>
      <c r="AN799" s="1704"/>
      <c r="AO799" s="1680" t="s">
        <v>67</v>
      </c>
      <c r="AP799" s="1704"/>
      <c r="AQ799" s="1680" t="s">
        <v>67</v>
      </c>
      <c r="AR799" s="1704"/>
      <c r="AS799" s="1778"/>
      <c r="AT799" s="1779">
        <v>0</v>
      </c>
      <c r="AU799" s="1780">
        <v>0</v>
      </c>
      <c r="AV799" s="1781">
        <v>0</v>
      </c>
      <c r="AW799" s="1782" t="s">
        <v>67</v>
      </c>
      <c r="AX799" s="1701" t="s">
        <v>67</v>
      </c>
      <c r="AY799" s="1702" t="s">
        <v>67</v>
      </c>
      <c r="AZ799" s="1703" t="s">
        <v>67</v>
      </c>
      <c r="BA799" s="231"/>
      <c r="BB799" s="5"/>
      <c r="BC799" s="5"/>
      <c r="BD799" s="11"/>
      <c r="BE799" s="231"/>
      <c r="BF799" s="509"/>
      <c r="BG799" s="5"/>
      <c r="BH799" s="5"/>
      <c r="BI799" s="5"/>
      <c r="BJ799" s="64"/>
      <c r="BK799" s="1784" t="s">
        <v>67</v>
      </c>
      <c r="BL799" s="1139"/>
      <c r="BM799" s="1785" t="s">
        <v>67</v>
      </c>
      <c r="BN799" s="1786" t="s">
        <v>67</v>
      </c>
      <c r="BO799" s="1786" t="s">
        <v>67</v>
      </c>
      <c r="BP799" s="1787" t="s">
        <v>67</v>
      </c>
      <c r="BQ799" s="1787" t="s">
        <v>67</v>
      </c>
      <c r="BR799" s="1787" t="s">
        <v>67</v>
      </c>
      <c r="BS799" s="1787" t="s">
        <v>67</v>
      </c>
      <c r="BT799" s="1787" t="s">
        <v>67</v>
      </c>
      <c r="BU799" s="1787" t="s">
        <v>67</v>
      </c>
      <c r="BV799" s="1787" t="s">
        <v>67</v>
      </c>
      <c r="BW799" s="1785" t="s">
        <v>67</v>
      </c>
      <c r="BX799" s="13"/>
      <c r="BY799" s="22"/>
      <c r="BZ799" s="22"/>
      <c r="CA799" s="22"/>
      <c r="CB799" s="22"/>
      <c r="CC799" s="22"/>
      <c r="CD799" s="22"/>
      <c r="CE799" s="1246" t="s">
        <v>3947</v>
      </c>
      <c r="CF799" s="866"/>
    </row>
    <row r="800" spans="1:84" ht="91.5" hidden="1" customHeight="1">
      <c r="A800" s="1467"/>
      <c r="B800" s="22"/>
      <c r="C800" s="22"/>
      <c r="D800" s="22"/>
      <c r="E800" s="921"/>
      <c r="F800" s="921"/>
      <c r="G800" s="925"/>
      <c r="H800" s="1793" t="s">
        <v>67</v>
      </c>
      <c r="I800" s="331"/>
      <c r="J800" s="331"/>
      <c r="K800" s="169">
        <v>2024</v>
      </c>
      <c r="L800" s="1446">
        <v>243004</v>
      </c>
      <c r="M800" s="1446"/>
      <c r="N800" s="170" t="s">
        <v>165</v>
      </c>
      <c r="O800" s="178" t="s">
        <v>6619</v>
      </c>
      <c r="P800" s="172" t="s">
        <v>46</v>
      </c>
      <c r="Q800" s="173" t="s">
        <v>6715</v>
      </c>
      <c r="R800" s="173" t="s">
        <v>1975</v>
      </c>
      <c r="S800" s="586">
        <f>3700*1.16</f>
        <v>4292</v>
      </c>
      <c r="T800" s="582">
        <v>45363</v>
      </c>
      <c r="U800" s="176">
        <v>45365</v>
      </c>
      <c r="V800" s="177">
        <v>45372</v>
      </c>
      <c r="W800" s="667"/>
      <c r="X800" s="178" t="s">
        <v>6678</v>
      </c>
      <c r="Y800" s="170" t="s">
        <v>6459</v>
      </c>
      <c r="Z800" s="1771" t="s">
        <v>67</v>
      </c>
      <c r="AA800" s="1772" t="s">
        <v>67</v>
      </c>
      <c r="AB800" s="256"/>
      <c r="AC800" s="8"/>
      <c r="AD800" s="4"/>
      <c r="AE800" s="4"/>
      <c r="AF800" s="32"/>
      <c r="AG800" s="1773" t="s">
        <v>67</v>
      </c>
      <c r="AH800" s="1774" t="s">
        <v>67</v>
      </c>
      <c r="AI800" s="1774" t="s">
        <v>67</v>
      </c>
      <c r="AJ800" s="1775" t="s">
        <v>67</v>
      </c>
      <c r="AK800" s="1776" t="s">
        <v>67</v>
      </c>
      <c r="AL800" s="1777" t="s">
        <v>67</v>
      </c>
      <c r="AM800" s="1680" t="s">
        <v>67</v>
      </c>
      <c r="AN800" s="1704"/>
      <c r="AO800" s="1680" t="s">
        <v>67</v>
      </c>
      <c r="AP800" s="1704"/>
      <c r="AQ800" s="1680" t="s">
        <v>67</v>
      </c>
      <c r="AR800" s="1704"/>
      <c r="AS800" s="1778"/>
      <c r="AT800" s="1779">
        <v>0</v>
      </c>
      <c r="AU800" s="1780">
        <v>0</v>
      </c>
      <c r="AV800" s="1781">
        <v>0</v>
      </c>
      <c r="AW800" s="1782" t="s">
        <v>67</v>
      </c>
      <c r="AX800" s="1701" t="s">
        <v>67</v>
      </c>
      <c r="AY800" s="1702" t="s">
        <v>67</v>
      </c>
      <c r="AZ800" s="1703" t="s">
        <v>67</v>
      </c>
      <c r="BA800" s="231"/>
      <c r="BB800" s="5"/>
      <c r="BC800" s="5"/>
      <c r="BD800" s="11"/>
      <c r="BE800" s="231"/>
      <c r="BF800" s="509"/>
      <c r="BG800" s="5"/>
      <c r="BH800" s="5"/>
      <c r="BI800" s="5"/>
      <c r="BJ800" s="64"/>
      <c r="BK800" s="1784" t="s">
        <v>67</v>
      </c>
      <c r="BL800" s="1139"/>
      <c r="BM800" s="1785" t="s">
        <v>67</v>
      </c>
      <c r="BN800" s="1786" t="s">
        <v>67</v>
      </c>
      <c r="BO800" s="1786" t="s">
        <v>67</v>
      </c>
      <c r="BP800" s="1787" t="s">
        <v>67</v>
      </c>
      <c r="BQ800" s="1787" t="s">
        <v>67</v>
      </c>
      <c r="BR800" s="1787" t="s">
        <v>67</v>
      </c>
      <c r="BS800" s="1787" t="s">
        <v>67</v>
      </c>
      <c r="BT800" s="1787" t="s">
        <v>67</v>
      </c>
      <c r="BU800" s="1787" t="s">
        <v>67</v>
      </c>
      <c r="BV800" s="1787" t="s">
        <v>67</v>
      </c>
      <c r="BW800" s="1785" t="s">
        <v>67</v>
      </c>
      <c r="BX800" s="13"/>
      <c r="BY800" s="22"/>
      <c r="BZ800" s="22"/>
      <c r="CA800" s="22"/>
      <c r="CB800" s="22"/>
      <c r="CC800" s="22"/>
      <c r="CD800" s="22"/>
      <c r="CE800" s="1246" t="s">
        <v>3947</v>
      </c>
      <c r="CF800" s="866" t="s">
        <v>6679</v>
      </c>
    </row>
    <row r="801" spans="1:84" ht="87.75" hidden="1" customHeight="1">
      <c r="A801" s="1467"/>
      <c r="B801" s="22"/>
      <c r="C801" s="22"/>
      <c r="D801" s="22"/>
      <c r="E801" s="921"/>
      <c r="F801" s="921"/>
      <c r="G801" s="925"/>
      <c r="H801" s="1793" t="s">
        <v>67</v>
      </c>
      <c r="I801" s="331"/>
      <c r="J801" s="331"/>
      <c r="K801" s="169">
        <v>2024</v>
      </c>
      <c r="L801" s="1446">
        <v>243005</v>
      </c>
      <c r="M801" s="1446"/>
      <c r="N801" s="170" t="s">
        <v>165</v>
      </c>
      <c r="O801" s="178" t="s">
        <v>6620</v>
      </c>
      <c r="P801" s="172" t="s">
        <v>46</v>
      </c>
      <c r="Q801" s="173" t="s">
        <v>6735</v>
      </c>
      <c r="R801" s="173" t="s">
        <v>4826</v>
      </c>
      <c r="S801" s="586">
        <f>3200*1.16</f>
        <v>3711.9999999999995</v>
      </c>
      <c r="T801" s="582">
        <v>45362</v>
      </c>
      <c r="U801" s="176">
        <v>45363</v>
      </c>
      <c r="V801" s="177">
        <v>45367</v>
      </c>
      <c r="W801" s="667"/>
      <c r="X801" s="178" t="s">
        <v>738</v>
      </c>
      <c r="Y801" s="170" t="s">
        <v>6459</v>
      </c>
      <c r="Z801" s="1771" t="s">
        <v>67</v>
      </c>
      <c r="AA801" s="1772" t="s">
        <v>67</v>
      </c>
      <c r="AB801" s="256"/>
      <c r="AC801" s="8"/>
      <c r="AD801" s="4"/>
      <c r="AE801" s="4"/>
      <c r="AF801" s="32"/>
      <c r="AG801" s="1773" t="s">
        <v>67</v>
      </c>
      <c r="AH801" s="1774" t="s">
        <v>67</v>
      </c>
      <c r="AI801" s="1774" t="s">
        <v>67</v>
      </c>
      <c r="AJ801" s="1775" t="s">
        <v>67</v>
      </c>
      <c r="AK801" s="1776" t="s">
        <v>67</v>
      </c>
      <c r="AL801" s="1777" t="s">
        <v>67</v>
      </c>
      <c r="AM801" s="1680" t="s">
        <v>67</v>
      </c>
      <c r="AN801" s="1704"/>
      <c r="AO801" s="1680" t="s">
        <v>67</v>
      </c>
      <c r="AP801" s="1704"/>
      <c r="AQ801" s="1680" t="s">
        <v>67</v>
      </c>
      <c r="AR801" s="1704"/>
      <c r="AS801" s="1778"/>
      <c r="AT801" s="1779">
        <v>0</v>
      </c>
      <c r="AU801" s="1780">
        <v>0</v>
      </c>
      <c r="AV801" s="1781">
        <v>0</v>
      </c>
      <c r="AW801" s="1782" t="s">
        <v>67</v>
      </c>
      <c r="AX801" s="1701" t="s">
        <v>67</v>
      </c>
      <c r="AY801" s="1702" t="s">
        <v>67</v>
      </c>
      <c r="AZ801" s="1703" t="s">
        <v>67</v>
      </c>
      <c r="BA801" s="231"/>
      <c r="BB801" s="5"/>
      <c r="BC801" s="5"/>
      <c r="BD801" s="11"/>
      <c r="BE801" s="231"/>
      <c r="BF801" s="509"/>
      <c r="BG801" s="5"/>
      <c r="BH801" s="5"/>
      <c r="BI801" s="5"/>
      <c r="BJ801" s="64"/>
      <c r="BK801" s="1784" t="s">
        <v>67</v>
      </c>
      <c r="BL801" s="1139"/>
      <c r="BM801" s="1785" t="s">
        <v>67</v>
      </c>
      <c r="BN801" s="1786" t="s">
        <v>67</v>
      </c>
      <c r="BO801" s="1786" t="s">
        <v>67</v>
      </c>
      <c r="BP801" s="1787" t="s">
        <v>67</v>
      </c>
      <c r="BQ801" s="1787" t="s">
        <v>67</v>
      </c>
      <c r="BR801" s="1787" t="s">
        <v>67</v>
      </c>
      <c r="BS801" s="1787" t="s">
        <v>67</v>
      </c>
      <c r="BT801" s="1787" t="s">
        <v>67</v>
      </c>
      <c r="BU801" s="1787" t="s">
        <v>67</v>
      </c>
      <c r="BV801" s="1787" t="s">
        <v>67</v>
      </c>
      <c r="BW801" s="1785" t="s">
        <v>67</v>
      </c>
      <c r="BX801" s="13"/>
      <c r="BY801" s="22"/>
      <c r="BZ801" s="22"/>
      <c r="CA801" s="22"/>
      <c r="CB801" s="22"/>
      <c r="CC801" s="22"/>
      <c r="CD801" s="22"/>
      <c r="CE801" s="1246" t="s">
        <v>3947</v>
      </c>
      <c r="CF801" s="866" t="s">
        <v>6680</v>
      </c>
    </row>
    <row r="802" spans="1:84" ht="75" hidden="1" customHeight="1">
      <c r="A802" s="1467"/>
      <c r="B802" s="22"/>
      <c r="C802" s="22"/>
      <c r="D802" s="22"/>
      <c r="E802" s="921"/>
      <c r="F802" s="921"/>
      <c r="G802" s="925"/>
      <c r="H802" s="1793" t="s">
        <v>67</v>
      </c>
      <c r="I802" s="331"/>
      <c r="J802" s="331"/>
      <c r="K802" s="169">
        <v>2024</v>
      </c>
      <c r="L802" s="1446">
        <v>243006</v>
      </c>
      <c r="M802" s="1446"/>
      <c r="N802" s="170" t="s">
        <v>165</v>
      </c>
      <c r="O802" s="178" t="s">
        <v>6621</v>
      </c>
      <c r="P802" s="172" t="s">
        <v>46</v>
      </c>
      <c r="Q802" s="173" t="s">
        <v>6682</v>
      </c>
      <c r="R802" s="173" t="s">
        <v>2578</v>
      </c>
      <c r="S802" s="586">
        <f>1700*1.16</f>
        <v>1971.9999999999998</v>
      </c>
      <c r="T802" s="582">
        <v>45352</v>
      </c>
      <c r="U802" s="176">
        <v>45352</v>
      </c>
      <c r="V802" s="177">
        <v>45381</v>
      </c>
      <c r="W802" s="667"/>
      <c r="X802" s="178" t="s">
        <v>738</v>
      </c>
      <c r="Y802" s="170" t="s">
        <v>6459</v>
      </c>
      <c r="Z802" s="1771" t="s">
        <v>67</v>
      </c>
      <c r="AA802" s="1772" t="s">
        <v>67</v>
      </c>
      <c r="AB802" s="256"/>
      <c r="AC802" s="8"/>
      <c r="AD802" s="4"/>
      <c r="AE802" s="4"/>
      <c r="AF802" s="32"/>
      <c r="AG802" s="1773" t="s">
        <v>67</v>
      </c>
      <c r="AH802" s="1774" t="s">
        <v>67</v>
      </c>
      <c r="AI802" s="1774" t="s">
        <v>67</v>
      </c>
      <c r="AJ802" s="1775" t="s">
        <v>67</v>
      </c>
      <c r="AK802" s="1776" t="s">
        <v>67</v>
      </c>
      <c r="AL802" s="1777" t="s">
        <v>67</v>
      </c>
      <c r="AM802" s="1680" t="s">
        <v>67</v>
      </c>
      <c r="AN802" s="1704"/>
      <c r="AO802" s="1680" t="s">
        <v>67</v>
      </c>
      <c r="AP802" s="1704"/>
      <c r="AQ802" s="1680" t="s">
        <v>67</v>
      </c>
      <c r="AR802" s="1704"/>
      <c r="AS802" s="1778"/>
      <c r="AT802" s="1779">
        <v>0</v>
      </c>
      <c r="AU802" s="1780">
        <v>0</v>
      </c>
      <c r="AV802" s="1781">
        <v>0</v>
      </c>
      <c r="AW802" s="1782" t="s">
        <v>67</v>
      </c>
      <c r="AX802" s="1701" t="s">
        <v>67</v>
      </c>
      <c r="AY802" s="1702" t="s">
        <v>67</v>
      </c>
      <c r="AZ802" s="1703" t="s">
        <v>67</v>
      </c>
      <c r="BA802" s="231"/>
      <c r="BB802" s="5"/>
      <c r="BC802" s="5"/>
      <c r="BD802" s="11"/>
      <c r="BE802" s="231"/>
      <c r="BF802" s="509"/>
      <c r="BG802" s="5"/>
      <c r="BH802" s="5"/>
      <c r="BI802" s="5"/>
      <c r="BJ802" s="64"/>
      <c r="BK802" s="1784" t="s">
        <v>67</v>
      </c>
      <c r="BL802" s="1139"/>
      <c r="BM802" s="1785" t="s">
        <v>67</v>
      </c>
      <c r="BN802" s="1786" t="s">
        <v>67</v>
      </c>
      <c r="BO802" s="1786" t="s">
        <v>67</v>
      </c>
      <c r="BP802" s="1787" t="s">
        <v>67</v>
      </c>
      <c r="BQ802" s="1787" t="s">
        <v>67</v>
      </c>
      <c r="BR802" s="1787" t="s">
        <v>67</v>
      </c>
      <c r="BS802" s="1787" t="s">
        <v>67</v>
      </c>
      <c r="BT802" s="1787" t="s">
        <v>67</v>
      </c>
      <c r="BU802" s="1787" t="s">
        <v>67</v>
      </c>
      <c r="BV802" s="1787" t="s">
        <v>67</v>
      </c>
      <c r="BW802" s="1785" t="s">
        <v>67</v>
      </c>
      <c r="BX802" s="13"/>
      <c r="BY802" s="22"/>
      <c r="BZ802" s="22"/>
      <c r="CA802" s="22"/>
      <c r="CB802" s="22"/>
      <c r="CC802" s="22"/>
      <c r="CD802" s="22"/>
      <c r="CE802" s="1246" t="s">
        <v>3947</v>
      </c>
      <c r="CF802" s="866"/>
    </row>
    <row r="803" spans="1:84" ht="80.25" hidden="1" customHeight="1">
      <c r="A803" s="1467"/>
      <c r="B803" s="22"/>
      <c r="C803" s="22"/>
      <c r="D803" s="22"/>
      <c r="E803" s="921"/>
      <c r="F803" s="921"/>
      <c r="G803" s="925"/>
      <c r="H803" s="1793" t="s">
        <v>67</v>
      </c>
      <c r="I803" s="331"/>
      <c r="J803" s="331"/>
      <c r="K803" s="169">
        <v>2024</v>
      </c>
      <c r="L803" s="1446">
        <v>243007</v>
      </c>
      <c r="M803" s="1446"/>
      <c r="N803" s="170" t="s">
        <v>165</v>
      </c>
      <c r="O803" s="178" t="s">
        <v>6622</v>
      </c>
      <c r="P803" s="172" t="s">
        <v>46</v>
      </c>
      <c r="Q803" s="173" t="s">
        <v>6736</v>
      </c>
      <c r="R803" s="173" t="s">
        <v>1975</v>
      </c>
      <c r="S803" s="586">
        <f>1300*1.16</f>
        <v>1508</v>
      </c>
      <c r="T803" s="582">
        <v>45378</v>
      </c>
      <c r="U803" s="176">
        <v>45383</v>
      </c>
      <c r="V803" s="177">
        <v>45412</v>
      </c>
      <c r="W803" s="667"/>
      <c r="X803" s="178" t="s">
        <v>738</v>
      </c>
      <c r="Y803" s="170" t="s">
        <v>6459</v>
      </c>
      <c r="Z803" s="1771" t="s">
        <v>67</v>
      </c>
      <c r="AA803" s="1772" t="s">
        <v>67</v>
      </c>
      <c r="AB803" s="256"/>
      <c r="AC803" s="8"/>
      <c r="AD803" s="4"/>
      <c r="AE803" s="4"/>
      <c r="AF803" s="32"/>
      <c r="AG803" s="1773" t="s">
        <v>67</v>
      </c>
      <c r="AH803" s="1774" t="s">
        <v>67</v>
      </c>
      <c r="AI803" s="1774" t="s">
        <v>67</v>
      </c>
      <c r="AJ803" s="1775" t="s">
        <v>67</v>
      </c>
      <c r="AK803" s="1776" t="s">
        <v>67</v>
      </c>
      <c r="AL803" s="1777" t="s">
        <v>67</v>
      </c>
      <c r="AM803" s="1680" t="s">
        <v>67</v>
      </c>
      <c r="AN803" s="1704"/>
      <c r="AO803" s="1680" t="s">
        <v>67</v>
      </c>
      <c r="AP803" s="1704"/>
      <c r="AQ803" s="1680" t="s">
        <v>67</v>
      </c>
      <c r="AR803" s="1704"/>
      <c r="AS803" s="1778"/>
      <c r="AT803" s="1779">
        <v>0</v>
      </c>
      <c r="AU803" s="1780">
        <v>0</v>
      </c>
      <c r="AV803" s="1781">
        <v>0</v>
      </c>
      <c r="AW803" s="1782" t="s">
        <v>67</v>
      </c>
      <c r="AX803" s="1701" t="s">
        <v>67</v>
      </c>
      <c r="AY803" s="1702" t="s">
        <v>67</v>
      </c>
      <c r="AZ803" s="1703" t="s">
        <v>67</v>
      </c>
      <c r="BA803" s="231"/>
      <c r="BB803" s="5"/>
      <c r="BC803" s="5"/>
      <c r="BD803" s="11"/>
      <c r="BE803" s="231"/>
      <c r="BF803" s="509"/>
      <c r="BG803" s="5"/>
      <c r="BH803" s="5"/>
      <c r="BI803" s="5"/>
      <c r="BJ803" s="64"/>
      <c r="BK803" s="1784" t="s">
        <v>67</v>
      </c>
      <c r="BL803" s="1139"/>
      <c r="BM803" s="1785" t="s">
        <v>67</v>
      </c>
      <c r="BN803" s="1786" t="s">
        <v>67</v>
      </c>
      <c r="BO803" s="1786" t="s">
        <v>67</v>
      </c>
      <c r="BP803" s="1787" t="s">
        <v>67</v>
      </c>
      <c r="BQ803" s="1787" t="s">
        <v>67</v>
      </c>
      <c r="BR803" s="1787" t="s">
        <v>67</v>
      </c>
      <c r="BS803" s="1787" t="s">
        <v>67</v>
      </c>
      <c r="BT803" s="1787" t="s">
        <v>67</v>
      </c>
      <c r="BU803" s="1787" t="s">
        <v>67</v>
      </c>
      <c r="BV803" s="1787" t="s">
        <v>67</v>
      </c>
      <c r="BW803" s="1785" t="s">
        <v>67</v>
      </c>
      <c r="BX803" s="13"/>
      <c r="BY803" s="22"/>
      <c r="BZ803" s="22"/>
      <c r="CA803" s="22"/>
      <c r="CB803" s="22"/>
      <c r="CC803" s="22"/>
      <c r="CD803" s="22"/>
      <c r="CE803" s="1246" t="s">
        <v>3947</v>
      </c>
      <c r="CF803" s="866" t="s">
        <v>6683</v>
      </c>
    </row>
    <row r="804" spans="1:84" ht="91.5" hidden="1" customHeight="1">
      <c r="A804" s="1467"/>
      <c r="B804" s="22"/>
      <c r="C804" s="22"/>
      <c r="D804" s="22"/>
      <c r="E804" s="921"/>
      <c r="F804" s="921"/>
      <c r="G804" s="925"/>
      <c r="H804" s="1793" t="s">
        <v>67</v>
      </c>
      <c r="I804" s="331"/>
      <c r="J804" s="331"/>
      <c r="K804" s="169">
        <v>2024</v>
      </c>
      <c r="L804" s="1446">
        <v>243008</v>
      </c>
      <c r="M804" s="1446"/>
      <c r="N804" s="170" t="s">
        <v>165</v>
      </c>
      <c r="O804" s="178" t="s">
        <v>6623</v>
      </c>
      <c r="P804" s="172" t="s">
        <v>46</v>
      </c>
      <c r="Q804" s="173" t="s">
        <v>6684</v>
      </c>
      <c r="R804" s="173" t="s">
        <v>2578</v>
      </c>
      <c r="S804" s="586">
        <f>4000*1.16</f>
        <v>4640</v>
      </c>
      <c r="T804" s="582">
        <v>45394</v>
      </c>
      <c r="U804" s="176">
        <v>45397</v>
      </c>
      <c r="V804" s="177">
        <v>45401</v>
      </c>
      <c r="W804" s="667"/>
      <c r="X804" s="178" t="s">
        <v>4365</v>
      </c>
      <c r="Y804" s="170" t="s">
        <v>6459</v>
      </c>
      <c r="Z804" s="1771" t="s">
        <v>67</v>
      </c>
      <c r="AA804" s="1772" t="s">
        <v>67</v>
      </c>
      <c r="AB804" s="256"/>
      <c r="AC804" s="8"/>
      <c r="AD804" s="4"/>
      <c r="AE804" s="4"/>
      <c r="AF804" s="32"/>
      <c r="AG804" s="1773" t="s">
        <v>67</v>
      </c>
      <c r="AH804" s="1774" t="s">
        <v>67</v>
      </c>
      <c r="AI804" s="1774" t="s">
        <v>67</v>
      </c>
      <c r="AJ804" s="1775" t="s">
        <v>67</v>
      </c>
      <c r="AK804" s="1776" t="s">
        <v>67</v>
      </c>
      <c r="AL804" s="1777" t="s">
        <v>67</v>
      </c>
      <c r="AM804" s="1680" t="s">
        <v>67</v>
      </c>
      <c r="AN804" s="1704"/>
      <c r="AO804" s="1680" t="s">
        <v>67</v>
      </c>
      <c r="AP804" s="1704"/>
      <c r="AQ804" s="1680" t="s">
        <v>67</v>
      </c>
      <c r="AR804" s="1704"/>
      <c r="AS804" s="1778"/>
      <c r="AT804" s="1779">
        <v>0</v>
      </c>
      <c r="AU804" s="1780">
        <v>0</v>
      </c>
      <c r="AV804" s="1781">
        <v>0</v>
      </c>
      <c r="AW804" s="1782" t="s">
        <v>67</v>
      </c>
      <c r="AX804" s="1701" t="s">
        <v>67</v>
      </c>
      <c r="AY804" s="1702" t="s">
        <v>67</v>
      </c>
      <c r="AZ804" s="1703" t="s">
        <v>67</v>
      </c>
      <c r="BA804" s="231"/>
      <c r="BB804" s="5"/>
      <c r="BC804" s="5"/>
      <c r="BD804" s="11"/>
      <c r="BE804" s="231"/>
      <c r="BF804" s="509"/>
      <c r="BG804" s="5"/>
      <c r="BH804" s="5"/>
      <c r="BI804" s="5"/>
      <c r="BJ804" s="64"/>
      <c r="BK804" s="1784" t="s">
        <v>67</v>
      </c>
      <c r="BL804" s="1139"/>
      <c r="BM804" s="1785" t="s">
        <v>67</v>
      </c>
      <c r="BN804" s="1786" t="s">
        <v>67</v>
      </c>
      <c r="BO804" s="1786" t="s">
        <v>67</v>
      </c>
      <c r="BP804" s="1787" t="s">
        <v>67</v>
      </c>
      <c r="BQ804" s="1787" t="s">
        <v>67</v>
      </c>
      <c r="BR804" s="1787" t="s">
        <v>67</v>
      </c>
      <c r="BS804" s="1787" t="s">
        <v>67</v>
      </c>
      <c r="BT804" s="1787" t="s">
        <v>67</v>
      </c>
      <c r="BU804" s="1787" t="s">
        <v>67</v>
      </c>
      <c r="BV804" s="1787" t="s">
        <v>67</v>
      </c>
      <c r="BW804" s="1785" t="s">
        <v>67</v>
      </c>
      <c r="BX804" s="13"/>
      <c r="BY804" s="22"/>
      <c r="BZ804" s="22"/>
      <c r="CA804" s="22"/>
      <c r="CB804" s="22"/>
      <c r="CC804" s="22"/>
      <c r="CD804" s="22"/>
      <c r="CE804" s="1246" t="s">
        <v>3947</v>
      </c>
      <c r="CF804" s="866"/>
    </row>
    <row r="805" spans="1:84" ht="121.5" hidden="1" customHeight="1">
      <c r="A805" s="1467"/>
      <c r="B805" s="22"/>
      <c r="C805" s="22"/>
      <c r="D805" s="22"/>
      <c r="E805" s="921"/>
      <c r="F805" s="921"/>
      <c r="G805" s="925"/>
      <c r="H805" s="1793" t="s">
        <v>67</v>
      </c>
      <c r="I805" s="331"/>
      <c r="J805" s="331"/>
      <c r="K805" s="169">
        <v>2024</v>
      </c>
      <c r="L805" s="1446">
        <v>243009</v>
      </c>
      <c r="M805" s="1446"/>
      <c r="N805" s="170" t="s">
        <v>165</v>
      </c>
      <c r="O805" s="178" t="s">
        <v>6624</v>
      </c>
      <c r="P805" s="172" t="s">
        <v>46</v>
      </c>
      <c r="Q805" s="173" t="s">
        <v>6685</v>
      </c>
      <c r="R805" s="173" t="s">
        <v>2580</v>
      </c>
      <c r="S805" s="586">
        <f>680*1.16</f>
        <v>788.8</v>
      </c>
      <c r="T805" s="582">
        <v>45352</v>
      </c>
      <c r="U805" s="176">
        <v>45352</v>
      </c>
      <c r="V805" s="177">
        <v>45443</v>
      </c>
      <c r="W805" s="667"/>
      <c r="X805" s="178" t="s">
        <v>6241</v>
      </c>
      <c r="Y805" s="170" t="s">
        <v>69</v>
      </c>
      <c r="Z805" s="1771" t="s">
        <v>67</v>
      </c>
      <c r="AA805" s="1772" t="s">
        <v>67</v>
      </c>
      <c r="AB805" s="256"/>
      <c r="AC805" s="8"/>
      <c r="AD805" s="4"/>
      <c r="AE805" s="4"/>
      <c r="AF805" s="32"/>
      <c r="AG805" s="1773" t="s">
        <v>67</v>
      </c>
      <c r="AH805" s="1774" t="s">
        <v>67</v>
      </c>
      <c r="AI805" s="1774" t="s">
        <v>67</v>
      </c>
      <c r="AJ805" s="1775" t="s">
        <v>67</v>
      </c>
      <c r="AK805" s="1776" t="s">
        <v>67</v>
      </c>
      <c r="AL805" s="1777" t="s">
        <v>67</v>
      </c>
      <c r="AM805" s="1680" t="s">
        <v>67</v>
      </c>
      <c r="AN805" s="1704"/>
      <c r="AO805" s="1680" t="s">
        <v>67</v>
      </c>
      <c r="AP805" s="1704"/>
      <c r="AQ805" s="1680" t="s">
        <v>67</v>
      </c>
      <c r="AR805" s="1704"/>
      <c r="AS805" s="1778"/>
      <c r="AT805" s="1779">
        <v>0</v>
      </c>
      <c r="AU805" s="1780">
        <v>0</v>
      </c>
      <c r="AV805" s="1781">
        <v>0</v>
      </c>
      <c r="AW805" s="1782" t="s">
        <v>67</v>
      </c>
      <c r="AX805" s="1701" t="s">
        <v>67</v>
      </c>
      <c r="AY805" s="1702" t="s">
        <v>67</v>
      </c>
      <c r="AZ805" s="1703" t="s">
        <v>67</v>
      </c>
      <c r="BA805" s="231"/>
      <c r="BB805" s="5"/>
      <c r="BC805" s="5"/>
      <c r="BD805" s="11"/>
      <c r="BE805" s="231"/>
      <c r="BF805" s="509"/>
      <c r="BG805" s="5"/>
      <c r="BH805" s="5"/>
      <c r="BI805" s="5"/>
      <c r="BJ805" s="64"/>
      <c r="BK805" s="1784" t="s">
        <v>67</v>
      </c>
      <c r="BL805" s="1139"/>
      <c r="BM805" s="1785" t="s">
        <v>67</v>
      </c>
      <c r="BN805" s="1786" t="s">
        <v>67</v>
      </c>
      <c r="BO805" s="1786" t="s">
        <v>67</v>
      </c>
      <c r="BP805" s="1787" t="s">
        <v>67</v>
      </c>
      <c r="BQ805" s="1787" t="s">
        <v>67</v>
      </c>
      <c r="BR805" s="1787" t="s">
        <v>67</v>
      </c>
      <c r="BS805" s="1787" t="s">
        <v>67</v>
      </c>
      <c r="BT805" s="1787" t="s">
        <v>67</v>
      </c>
      <c r="BU805" s="1787" t="s">
        <v>67</v>
      </c>
      <c r="BV805" s="1787" t="s">
        <v>67</v>
      </c>
      <c r="BW805" s="1785" t="s">
        <v>67</v>
      </c>
      <c r="BX805" s="13"/>
      <c r="BY805" s="22"/>
      <c r="BZ805" s="22"/>
      <c r="CA805" s="22"/>
      <c r="CB805" s="22"/>
      <c r="CC805" s="22"/>
      <c r="CD805" s="22"/>
      <c r="CE805" s="1246" t="s">
        <v>3947</v>
      </c>
      <c r="CF805" s="866"/>
    </row>
    <row r="806" spans="1:84" ht="110.25" hidden="1" customHeight="1">
      <c r="A806" s="1467"/>
      <c r="B806" s="22"/>
      <c r="C806" s="22"/>
      <c r="D806" s="22"/>
      <c r="E806" s="921"/>
      <c r="F806" s="921"/>
      <c r="G806" s="925"/>
      <c r="H806" s="1793" t="s">
        <v>67</v>
      </c>
      <c r="I806" s="331"/>
      <c r="J806" s="331"/>
      <c r="K806" s="169">
        <v>2024</v>
      </c>
      <c r="L806" s="1446">
        <v>243010</v>
      </c>
      <c r="M806" s="1446"/>
      <c r="N806" s="170" t="s">
        <v>165</v>
      </c>
      <c r="O806" s="178" t="s">
        <v>6625</v>
      </c>
      <c r="P806" s="172" t="s">
        <v>46</v>
      </c>
      <c r="Q806" s="173" t="s">
        <v>6739</v>
      </c>
      <c r="R806" s="173" t="s">
        <v>1975</v>
      </c>
      <c r="S806" s="586">
        <f>1278*1.16</f>
        <v>1482.4799999999998</v>
      </c>
      <c r="T806" s="582">
        <v>45420</v>
      </c>
      <c r="U806" s="176">
        <v>45422</v>
      </c>
      <c r="V806" s="177">
        <v>45423</v>
      </c>
      <c r="W806" s="667"/>
      <c r="X806" s="178" t="s">
        <v>4365</v>
      </c>
      <c r="Y806" s="170" t="s">
        <v>448</v>
      </c>
      <c r="Z806" s="1771" t="s">
        <v>67</v>
      </c>
      <c r="AA806" s="1772" t="s">
        <v>67</v>
      </c>
      <c r="AB806" s="256"/>
      <c r="AC806" s="8"/>
      <c r="AD806" s="4"/>
      <c r="AE806" s="4"/>
      <c r="AF806" s="32"/>
      <c r="AG806" s="1773" t="s">
        <v>67</v>
      </c>
      <c r="AH806" s="1774" t="s">
        <v>67</v>
      </c>
      <c r="AI806" s="1774" t="s">
        <v>67</v>
      </c>
      <c r="AJ806" s="1775" t="s">
        <v>67</v>
      </c>
      <c r="AK806" s="1776" t="s">
        <v>67</v>
      </c>
      <c r="AL806" s="1777" t="s">
        <v>67</v>
      </c>
      <c r="AM806" s="1680" t="s">
        <v>67</v>
      </c>
      <c r="AN806" s="1704"/>
      <c r="AO806" s="1680" t="s">
        <v>67</v>
      </c>
      <c r="AP806" s="1704"/>
      <c r="AQ806" s="1680" t="s">
        <v>67</v>
      </c>
      <c r="AR806" s="1704"/>
      <c r="AS806" s="1778"/>
      <c r="AT806" s="1779">
        <v>0</v>
      </c>
      <c r="AU806" s="1780">
        <v>0</v>
      </c>
      <c r="AV806" s="1781">
        <v>0</v>
      </c>
      <c r="AW806" s="1782" t="s">
        <v>67</v>
      </c>
      <c r="AX806" s="1701" t="s">
        <v>67</v>
      </c>
      <c r="AY806" s="1702" t="s">
        <v>67</v>
      </c>
      <c r="AZ806" s="1703" t="s">
        <v>67</v>
      </c>
      <c r="BA806" s="231"/>
      <c r="BB806" s="5"/>
      <c r="BC806" s="5"/>
      <c r="BD806" s="11"/>
      <c r="BE806" s="231"/>
      <c r="BF806" s="509"/>
      <c r="BG806" s="5"/>
      <c r="BH806" s="5"/>
      <c r="BI806" s="5"/>
      <c r="BJ806" s="64"/>
      <c r="BK806" s="1784" t="s">
        <v>67</v>
      </c>
      <c r="BL806" s="1139"/>
      <c r="BM806" s="1785" t="s">
        <v>67</v>
      </c>
      <c r="BN806" s="1786" t="s">
        <v>67</v>
      </c>
      <c r="BO806" s="1786" t="s">
        <v>67</v>
      </c>
      <c r="BP806" s="1787" t="s">
        <v>67</v>
      </c>
      <c r="BQ806" s="1787" t="s">
        <v>67</v>
      </c>
      <c r="BR806" s="1787" t="s">
        <v>67</v>
      </c>
      <c r="BS806" s="1787" t="s">
        <v>67</v>
      </c>
      <c r="BT806" s="1787" t="s">
        <v>67</v>
      </c>
      <c r="BU806" s="1787" t="s">
        <v>67</v>
      </c>
      <c r="BV806" s="1787" t="s">
        <v>67</v>
      </c>
      <c r="BW806" s="1785" t="s">
        <v>67</v>
      </c>
      <c r="BX806" s="13"/>
      <c r="BY806" s="22"/>
      <c r="BZ806" s="22"/>
      <c r="CA806" s="22"/>
      <c r="CB806" s="22"/>
      <c r="CC806" s="22"/>
      <c r="CD806" s="22"/>
      <c r="CE806" s="1246" t="s">
        <v>3947</v>
      </c>
      <c r="CF806" s="866"/>
    </row>
    <row r="807" spans="1:84" ht="83.25" hidden="1" customHeight="1">
      <c r="A807" s="1467"/>
      <c r="B807" s="22"/>
      <c r="C807" s="22"/>
      <c r="D807" s="22"/>
      <c r="E807" s="921"/>
      <c r="F807" s="921"/>
      <c r="G807" s="925"/>
      <c r="H807" s="1793" t="s">
        <v>67</v>
      </c>
      <c r="I807" s="331"/>
      <c r="J807" s="331"/>
      <c r="K807" s="169">
        <v>2024</v>
      </c>
      <c r="L807" s="1446">
        <v>243010</v>
      </c>
      <c r="M807" s="1446"/>
      <c r="N807" s="170" t="s">
        <v>165</v>
      </c>
      <c r="O807" s="178" t="s">
        <v>6626</v>
      </c>
      <c r="P807" s="172" t="s">
        <v>46</v>
      </c>
      <c r="Q807" s="173" t="s">
        <v>6686</v>
      </c>
      <c r="R807" s="173" t="s">
        <v>2578</v>
      </c>
      <c r="S807" s="586">
        <f>4000*1.16</f>
        <v>4640</v>
      </c>
      <c r="T807" s="175">
        <v>45425</v>
      </c>
      <c r="U807" s="176">
        <v>45425</v>
      </c>
      <c r="V807" s="177">
        <v>45430</v>
      </c>
      <c r="W807" s="667"/>
      <c r="X807" s="178" t="s">
        <v>4365</v>
      </c>
      <c r="Y807" s="170" t="s">
        <v>6459</v>
      </c>
      <c r="Z807" s="1771" t="s">
        <v>67</v>
      </c>
      <c r="AA807" s="1772" t="s">
        <v>67</v>
      </c>
      <c r="AB807" s="256"/>
      <c r="AC807" s="8"/>
      <c r="AD807" s="4"/>
      <c r="AE807" s="4"/>
      <c r="AF807" s="32"/>
      <c r="AG807" s="1773" t="s">
        <v>67</v>
      </c>
      <c r="AH807" s="1774" t="s">
        <v>67</v>
      </c>
      <c r="AI807" s="1774" t="s">
        <v>67</v>
      </c>
      <c r="AJ807" s="1775" t="s">
        <v>67</v>
      </c>
      <c r="AK807" s="1776" t="s">
        <v>67</v>
      </c>
      <c r="AL807" s="1777" t="s">
        <v>67</v>
      </c>
      <c r="AM807" s="1680" t="s">
        <v>67</v>
      </c>
      <c r="AN807" s="1704"/>
      <c r="AO807" s="1680" t="s">
        <v>67</v>
      </c>
      <c r="AP807" s="1704"/>
      <c r="AQ807" s="1680" t="s">
        <v>67</v>
      </c>
      <c r="AR807" s="1704"/>
      <c r="AS807" s="1778"/>
      <c r="AT807" s="1779">
        <v>0</v>
      </c>
      <c r="AU807" s="1780">
        <v>0</v>
      </c>
      <c r="AV807" s="1781">
        <v>0</v>
      </c>
      <c r="AW807" s="1782" t="s">
        <v>67</v>
      </c>
      <c r="AX807" s="1701" t="s">
        <v>67</v>
      </c>
      <c r="AY807" s="1702" t="s">
        <v>67</v>
      </c>
      <c r="AZ807" s="1703" t="s">
        <v>67</v>
      </c>
      <c r="BA807" s="231"/>
      <c r="BB807" s="5"/>
      <c r="BC807" s="5"/>
      <c r="BD807" s="11"/>
      <c r="BE807" s="231"/>
      <c r="BF807" s="509"/>
      <c r="BG807" s="5"/>
      <c r="BH807" s="5"/>
      <c r="BI807" s="5"/>
      <c r="BJ807" s="64"/>
      <c r="BK807" s="1784" t="s">
        <v>67</v>
      </c>
      <c r="BL807" s="1139"/>
      <c r="BM807" s="1785" t="s">
        <v>67</v>
      </c>
      <c r="BN807" s="1786" t="s">
        <v>67</v>
      </c>
      <c r="BO807" s="1786" t="s">
        <v>67</v>
      </c>
      <c r="BP807" s="1787" t="s">
        <v>67</v>
      </c>
      <c r="BQ807" s="1787" t="s">
        <v>67</v>
      </c>
      <c r="BR807" s="1787" t="s">
        <v>67</v>
      </c>
      <c r="BS807" s="1787" t="s">
        <v>67</v>
      </c>
      <c r="BT807" s="1787" t="s">
        <v>67</v>
      </c>
      <c r="BU807" s="1787" t="s">
        <v>67</v>
      </c>
      <c r="BV807" s="1787" t="s">
        <v>67</v>
      </c>
      <c r="BW807" s="1785" t="s">
        <v>67</v>
      </c>
      <c r="BX807" s="13"/>
      <c r="BY807" s="22"/>
      <c r="BZ807" s="22"/>
      <c r="CA807" s="22"/>
      <c r="CB807" s="22"/>
      <c r="CC807" s="22"/>
      <c r="CD807" s="22"/>
      <c r="CE807" s="1246" t="s">
        <v>3947</v>
      </c>
      <c r="CF807" s="866"/>
    </row>
    <row r="808" spans="1:84" ht="108" hidden="1" customHeight="1">
      <c r="A808" s="1467"/>
      <c r="B808" s="22"/>
      <c r="C808" s="22"/>
      <c r="D808" s="22"/>
      <c r="E808" s="921"/>
      <c r="F808" s="921"/>
      <c r="G808" s="925"/>
      <c r="H808" s="1793" t="s">
        <v>67</v>
      </c>
      <c r="I808" s="331"/>
      <c r="J808" s="331"/>
      <c r="K808" s="169">
        <v>2024</v>
      </c>
      <c r="L808" s="1446">
        <v>243010</v>
      </c>
      <c r="M808" s="1446"/>
      <c r="N808" s="170" t="s">
        <v>165</v>
      </c>
      <c r="O808" s="178" t="s">
        <v>6627</v>
      </c>
      <c r="P808" s="172" t="s">
        <v>46</v>
      </c>
      <c r="Q808" s="173" t="s">
        <v>6687</v>
      </c>
      <c r="R808" s="173" t="s">
        <v>4413</v>
      </c>
      <c r="S808" s="586">
        <f>680*1.16</f>
        <v>788.8</v>
      </c>
      <c r="T808" s="175">
        <v>45372</v>
      </c>
      <c r="U808" s="176">
        <v>45372</v>
      </c>
      <c r="V808" s="177">
        <v>45411</v>
      </c>
      <c r="W808" s="667"/>
      <c r="X808" s="178" t="s">
        <v>6241</v>
      </c>
      <c r="Y808" s="170" t="s">
        <v>69</v>
      </c>
      <c r="Z808" s="1771" t="s">
        <v>67</v>
      </c>
      <c r="AA808" s="1772" t="s">
        <v>67</v>
      </c>
      <c r="AB808" s="256"/>
      <c r="AC808" s="8"/>
      <c r="AD808" s="4"/>
      <c r="AE808" s="4"/>
      <c r="AF808" s="32"/>
      <c r="AG808" s="1773" t="s">
        <v>67</v>
      </c>
      <c r="AH808" s="1774" t="s">
        <v>67</v>
      </c>
      <c r="AI808" s="1774" t="s">
        <v>67</v>
      </c>
      <c r="AJ808" s="1775" t="s">
        <v>67</v>
      </c>
      <c r="AK808" s="1776" t="s">
        <v>67</v>
      </c>
      <c r="AL808" s="1777" t="s">
        <v>67</v>
      </c>
      <c r="AM808" s="1680" t="s">
        <v>67</v>
      </c>
      <c r="AN808" s="1704"/>
      <c r="AO808" s="1680" t="s">
        <v>67</v>
      </c>
      <c r="AP808" s="1704"/>
      <c r="AQ808" s="1680" t="s">
        <v>67</v>
      </c>
      <c r="AR808" s="1704"/>
      <c r="AS808" s="1778"/>
      <c r="AT808" s="1779">
        <v>0</v>
      </c>
      <c r="AU808" s="1780">
        <v>0</v>
      </c>
      <c r="AV808" s="1781">
        <v>0</v>
      </c>
      <c r="AW808" s="1782" t="s">
        <v>67</v>
      </c>
      <c r="AX808" s="1701" t="s">
        <v>67</v>
      </c>
      <c r="AY808" s="1702" t="s">
        <v>67</v>
      </c>
      <c r="AZ808" s="1703" t="s">
        <v>67</v>
      </c>
      <c r="BA808" s="231"/>
      <c r="BB808" s="5"/>
      <c r="BC808" s="5"/>
      <c r="BD808" s="11"/>
      <c r="BE808" s="231"/>
      <c r="BF808" s="509"/>
      <c r="BG808" s="5"/>
      <c r="BH808" s="5"/>
      <c r="BI808" s="5"/>
      <c r="BJ808" s="64"/>
      <c r="BK808" s="1784" t="s">
        <v>67</v>
      </c>
      <c r="BL808" s="1139"/>
      <c r="BM808" s="1785" t="s">
        <v>67</v>
      </c>
      <c r="BN808" s="1786" t="s">
        <v>67</v>
      </c>
      <c r="BO808" s="1786" t="s">
        <v>67</v>
      </c>
      <c r="BP808" s="1787" t="s">
        <v>67</v>
      </c>
      <c r="BQ808" s="1787" t="s">
        <v>67</v>
      </c>
      <c r="BR808" s="1787" t="s">
        <v>67</v>
      </c>
      <c r="BS808" s="1787" t="s">
        <v>67</v>
      </c>
      <c r="BT808" s="1787" t="s">
        <v>67</v>
      </c>
      <c r="BU808" s="1787" t="s">
        <v>67</v>
      </c>
      <c r="BV808" s="1787" t="s">
        <v>67</v>
      </c>
      <c r="BW808" s="1785" t="s">
        <v>67</v>
      </c>
      <c r="BX808" s="13"/>
      <c r="BY808" s="22"/>
      <c r="BZ808" s="22"/>
      <c r="CA808" s="22"/>
      <c r="CB808" s="22"/>
      <c r="CC808" s="22"/>
      <c r="CD808" s="22"/>
      <c r="CE808" s="1246" t="s">
        <v>3947</v>
      </c>
      <c r="CF808" s="866"/>
    </row>
    <row r="809" spans="1:84" ht="156.75" hidden="1" customHeight="1">
      <c r="A809" s="1467"/>
      <c r="B809" s="22"/>
      <c r="C809" s="22"/>
      <c r="D809" s="22"/>
      <c r="E809" s="921"/>
      <c r="F809" s="921"/>
      <c r="G809" s="925"/>
      <c r="H809" s="1793" t="s">
        <v>67</v>
      </c>
      <c r="I809" s="331"/>
      <c r="J809" s="331"/>
      <c r="K809" s="169">
        <v>2024</v>
      </c>
      <c r="L809" s="1446">
        <v>243010</v>
      </c>
      <c r="M809" s="1446"/>
      <c r="N809" s="170" t="s">
        <v>165</v>
      </c>
      <c r="O809" s="178" t="s">
        <v>6628</v>
      </c>
      <c r="P809" s="172" t="s">
        <v>46</v>
      </c>
      <c r="Q809" s="173" t="s">
        <v>6688</v>
      </c>
      <c r="R809" s="173" t="s">
        <v>4827</v>
      </c>
      <c r="S809" s="586">
        <f>(680+580+600+910+600+600)*1.16</f>
        <v>4605.2</v>
      </c>
      <c r="T809" s="175">
        <v>45432</v>
      </c>
      <c r="U809" s="176">
        <v>45434</v>
      </c>
      <c r="V809" s="177">
        <v>45478</v>
      </c>
      <c r="W809" s="667"/>
      <c r="X809" s="178" t="s">
        <v>6241</v>
      </c>
      <c r="Y809" s="170" t="s">
        <v>69</v>
      </c>
      <c r="Z809" s="1771" t="s">
        <v>67</v>
      </c>
      <c r="AA809" s="1772" t="s">
        <v>67</v>
      </c>
      <c r="AB809" s="256"/>
      <c r="AC809" s="8"/>
      <c r="AD809" s="4"/>
      <c r="AE809" s="4"/>
      <c r="AF809" s="32"/>
      <c r="AG809" s="1773" t="s">
        <v>67</v>
      </c>
      <c r="AH809" s="1774" t="s">
        <v>67</v>
      </c>
      <c r="AI809" s="1774" t="s">
        <v>67</v>
      </c>
      <c r="AJ809" s="1775" t="s">
        <v>67</v>
      </c>
      <c r="AK809" s="1776" t="s">
        <v>67</v>
      </c>
      <c r="AL809" s="1777" t="s">
        <v>67</v>
      </c>
      <c r="AM809" s="1680" t="s">
        <v>67</v>
      </c>
      <c r="AN809" s="1704"/>
      <c r="AO809" s="1680" t="s">
        <v>67</v>
      </c>
      <c r="AP809" s="1704"/>
      <c r="AQ809" s="1680" t="s">
        <v>67</v>
      </c>
      <c r="AR809" s="1704"/>
      <c r="AS809" s="1778"/>
      <c r="AT809" s="1779">
        <v>0</v>
      </c>
      <c r="AU809" s="1780">
        <v>0</v>
      </c>
      <c r="AV809" s="1781">
        <v>0</v>
      </c>
      <c r="AW809" s="1782" t="s">
        <v>67</v>
      </c>
      <c r="AX809" s="1701" t="s">
        <v>67</v>
      </c>
      <c r="AY809" s="1702" t="s">
        <v>67</v>
      </c>
      <c r="AZ809" s="1703" t="s">
        <v>67</v>
      </c>
      <c r="BA809" s="231"/>
      <c r="BB809" s="5"/>
      <c r="BC809" s="5"/>
      <c r="BD809" s="11"/>
      <c r="BE809" s="231"/>
      <c r="BF809" s="509"/>
      <c r="BG809" s="5"/>
      <c r="BH809" s="5"/>
      <c r="BI809" s="5"/>
      <c r="BJ809" s="64"/>
      <c r="BK809" s="1784" t="s">
        <v>67</v>
      </c>
      <c r="BL809" s="1139"/>
      <c r="BM809" s="1785" t="s">
        <v>67</v>
      </c>
      <c r="BN809" s="1786" t="s">
        <v>67</v>
      </c>
      <c r="BO809" s="1786" t="s">
        <v>67</v>
      </c>
      <c r="BP809" s="1787" t="s">
        <v>67</v>
      </c>
      <c r="BQ809" s="1787" t="s">
        <v>67</v>
      </c>
      <c r="BR809" s="1787" t="s">
        <v>67</v>
      </c>
      <c r="BS809" s="1787" t="s">
        <v>67</v>
      </c>
      <c r="BT809" s="1787" t="s">
        <v>67</v>
      </c>
      <c r="BU809" s="1787" t="s">
        <v>67</v>
      </c>
      <c r="BV809" s="1787" t="s">
        <v>67</v>
      </c>
      <c r="BW809" s="1785" t="s">
        <v>67</v>
      </c>
      <c r="BX809" s="13"/>
      <c r="BY809" s="22"/>
      <c r="BZ809" s="22"/>
      <c r="CA809" s="22"/>
      <c r="CB809" s="22"/>
      <c r="CC809" s="22"/>
      <c r="CD809" s="22"/>
      <c r="CE809" s="1246" t="s">
        <v>3947</v>
      </c>
      <c r="CF809" s="866" t="s">
        <v>6695</v>
      </c>
    </row>
    <row r="810" spans="1:84" ht="83.25" hidden="1" customHeight="1">
      <c r="A810" s="1467"/>
      <c r="B810" s="22"/>
      <c r="C810" s="22"/>
      <c r="D810" s="22"/>
      <c r="E810" s="921"/>
      <c r="F810" s="921"/>
      <c r="G810" s="925"/>
      <c r="H810" s="1793" t="s">
        <v>67</v>
      </c>
      <c r="I810" s="331"/>
      <c r="J810" s="331"/>
      <c r="K810" s="169">
        <v>2024</v>
      </c>
      <c r="L810" s="1446">
        <v>243010</v>
      </c>
      <c r="M810" s="1446"/>
      <c r="N810" s="170" t="s">
        <v>165</v>
      </c>
      <c r="O810" s="178" t="s">
        <v>6629</v>
      </c>
      <c r="P810" s="172" t="s">
        <v>46</v>
      </c>
      <c r="Q810" s="173" t="s">
        <v>6689</v>
      </c>
      <c r="R810" s="173" t="s">
        <v>2578</v>
      </c>
      <c r="S810" s="586">
        <f>78300*1.16</f>
        <v>90828</v>
      </c>
      <c r="T810" s="175">
        <v>45380</v>
      </c>
      <c r="U810" s="176">
        <v>45383</v>
      </c>
      <c r="V810" s="177">
        <v>45412</v>
      </c>
      <c r="W810" s="667"/>
      <c r="X810" s="178" t="s">
        <v>4365</v>
      </c>
      <c r="Y810" s="170" t="s">
        <v>6459</v>
      </c>
      <c r="Z810" s="1771" t="s">
        <v>67</v>
      </c>
      <c r="AA810" s="1772" t="s">
        <v>67</v>
      </c>
      <c r="AB810" s="256"/>
      <c r="AC810" s="8"/>
      <c r="AD810" s="4"/>
      <c r="AE810" s="4"/>
      <c r="AF810" s="32"/>
      <c r="AG810" s="1773" t="s">
        <v>67</v>
      </c>
      <c r="AH810" s="1774" t="s">
        <v>67</v>
      </c>
      <c r="AI810" s="1774" t="s">
        <v>67</v>
      </c>
      <c r="AJ810" s="1775" t="s">
        <v>67</v>
      </c>
      <c r="AK810" s="1776" t="s">
        <v>67</v>
      </c>
      <c r="AL810" s="1777" t="s">
        <v>67</v>
      </c>
      <c r="AM810" s="1680" t="s">
        <v>67</v>
      </c>
      <c r="AN810" s="1704"/>
      <c r="AO810" s="1680" t="s">
        <v>67</v>
      </c>
      <c r="AP810" s="1704"/>
      <c r="AQ810" s="1680" t="s">
        <v>67</v>
      </c>
      <c r="AR810" s="1704"/>
      <c r="AS810" s="1778"/>
      <c r="AT810" s="1779">
        <v>0</v>
      </c>
      <c r="AU810" s="1780">
        <v>0</v>
      </c>
      <c r="AV810" s="1781">
        <v>0</v>
      </c>
      <c r="AW810" s="1782" t="s">
        <v>67</v>
      </c>
      <c r="AX810" s="1701" t="s">
        <v>67</v>
      </c>
      <c r="AY810" s="1702" t="s">
        <v>67</v>
      </c>
      <c r="AZ810" s="1703" t="s">
        <v>67</v>
      </c>
      <c r="BA810" s="231"/>
      <c r="BB810" s="5"/>
      <c r="BC810" s="5"/>
      <c r="BD810" s="11"/>
      <c r="BE810" s="231"/>
      <c r="BF810" s="509"/>
      <c r="BG810" s="5"/>
      <c r="BH810" s="5"/>
      <c r="BI810" s="5"/>
      <c r="BJ810" s="64"/>
      <c r="BK810" s="1784" t="s">
        <v>67</v>
      </c>
      <c r="BL810" s="1139"/>
      <c r="BM810" s="1785" t="s">
        <v>67</v>
      </c>
      <c r="BN810" s="1786" t="s">
        <v>67</v>
      </c>
      <c r="BO810" s="1786" t="s">
        <v>67</v>
      </c>
      <c r="BP810" s="1787" t="s">
        <v>67</v>
      </c>
      <c r="BQ810" s="1787" t="s">
        <v>67</v>
      </c>
      <c r="BR810" s="1787" t="s">
        <v>67</v>
      </c>
      <c r="BS810" s="1787" t="s">
        <v>67</v>
      </c>
      <c r="BT810" s="1787" t="s">
        <v>67</v>
      </c>
      <c r="BU810" s="1787" t="s">
        <v>67</v>
      </c>
      <c r="BV810" s="1787" t="s">
        <v>67</v>
      </c>
      <c r="BW810" s="1785" t="s">
        <v>67</v>
      </c>
      <c r="BX810" s="13"/>
      <c r="BY810" s="22"/>
      <c r="BZ810" s="22"/>
      <c r="CA810" s="22"/>
      <c r="CB810" s="22"/>
      <c r="CC810" s="22"/>
      <c r="CD810" s="22"/>
      <c r="CE810" s="1246" t="s">
        <v>3947</v>
      </c>
      <c r="CF810" s="866"/>
    </row>
    <row r="811" spans="1:84" ht="87" hidden="1" customHeight="1">
      <c r="A811" s="1467"/>
      <c r="B811" s="22"/>
      <c r="C811" s="22"/>
      <c r="D811" s="22"/>
      <c r="E811" s="921"/>
      <c r="F811" s="921"/>
      <c r="G811" s="925"/>
      <c r="H811" s="1793" t="s">
        <v>67</v>
      </c>
      <c r="I811" s="331"/>
      <c r="J811" s="331"/>
      <c r="K811" s="169">
        <v>2024</v>
      </c>
      <c r="L811" s="1446">
        <v>243010</v>
      </c>
      <c r="M811" s="1446"/>
      <c r="N811" s="170" t="s">
        <v>165</v>
      </c>
      <c r="O811" s="178" t="s">
        <v>6630</v>
      </c>
      <c r="P811" s="172" t="s">
        <v>46</v>
      </c>
      <c r="Q811" s="173" t="s">
        <v>6690</v>
      </c>
      <c r="R811" s="173" t="s">
        <v>2578</v>
      </c>
      <c r="S811" s="586">
        <f>78300*1.16</f>
        <v>90828</v>
      </c>
      <c r="T811" s="175">
        <v>45412</v>
      </c>
      <c r="U811" s="176">
        <v>45413</v>
      </c>
      <c r="V811" s="177">
        <v>45443</v>
      </c>
      <c r="W811" s="667"/>
      <c r="X811" s="178" t="s">
        <v>4365</v>
      </c>
      <c r="Y811" s="170" t="s">
        <v>6459</v>
      </c>
      <c r="Z811" s="1771" t="s">
        <v>67</v>
      </c>
      <c r="AA811" s="1772" t="s">
        <v>67</v>
      </c>
      <c r="AB811" s="256"/>
      <c r="AC811" s="8"/>
      <c r="AD811" s="4"/>
      <c r="AE811" s="4"/>
      <c r="AF811" s="32"/>
      <c r="AG811" s="1773" t="s">
        <v>67</v>
      </c>
      <c r="AH811" s="1774" t="s">
        <v>67</v>
      </c>
      <c r="AI811" s="1774" t="s">
        <v>67</v>
      </c>
      <c r="AJ811" s="1775" t="s">
        <v>67</v>
      </c>
      <c r="AK811" s="1776" t="s">
        <v>67</v>
      </c>
      <c r="AL811" s="1777" t="s">
        <v>67</v>
      </c>
      <c r="AM811" s="1680" t="s">
        <v>67</v>
      </c>
      <c r="AN811" s="1704"/>
      <c r="AO811" s="1680" t="s">
        <v>67</v>
      </c>
      <c r="AP811" s="1704"/>
      <c r="AQ811" s="1680" t="s">
        <v>67</v>
      </c>
      <c r="AR811" s="1704"/>
      <c r="AS811" s="1778"/>
      <c r="AT811" s="1779">
        <v>0</v>
      </c>
      <c r="AU811" s="1780">
        <v>0</v>
      </c>
      <c r="AV811" s="1781">
        <v>0</v>
      </c>
      <c r="AW811" s="1782" t="s">
        <v>67</v>
      </c>
      <c r="AX811" s="1701" t="s">
        <v>67</v>
      </c>
      <c r="AY811" s="1702" t="s">
        <v>67</v>
      </c>
      <c r="AZ811" s="1703" t="s">
        <v>67</v>
      </c>
      <c r="BA811" s="231"/>
      <c r="BB811" s="5"/>
      <c r="BC811" s="5"/>
      <c r="BD811" s="11"/>
      <c r="BE811" s="231"/>
      <c r="BF811" s="509"/>
      <c r="BG811" s="5"/>
      <c r="BH811" s="5"/>
      <c r="BI811" s="5"/>
      <c r="BJ811" s="64"/>
      <c r="BK811" s="1784" t="s">
        <v>67</v>
      </c>
      <c r="BL811" s="1139"/>
      <c r="BM811" s="1785" t="s">
        <v>67</v>
      </c>
      <c r="BN811" s="1786" t="s">
        <v>67</v>
      </c>
      <c r="BO811" s="1786" t="s">
        <v>67</v>
      </c>
      <c r="BP811" s="1787" t="s">
        <v>67</v>
      </c>
      <c r="BQ811" s="1787" t="s">
        <v>67</v>
      </c>
      <c r="BR811" s="1787" t="s">
        <v>67</v>
      </c>
      <c r="BS811" s="1787" t="s">
        <v>67</v>
      </c>
      <c r="BT811" s="1787" t="s">
        <v>67</v>
      </c>
      <c r="BU811" s="1787" t="s">
        <v>67</v>
      </c>
      <c r="BV811" s="1787" t="s">
        <v>67</v>
      </c>
      <c r="BW811" s="1785" t="s">
        <v>67</v>
      </c>
      <c r="BX811" s="13"/>
      <c r="BY811" s="22"/>
      <c r="BZ811" s="22"/>
      <c r="CA811" s="22"/>
      <c r="CB811" s="22"/>
      <c r="CC811" s="22"/>
      <c r="CD811" s="22"/>
      <c r="CE811" s="1246" t="s">
        <v>3947</v>
      </c>
      <c r="CF811" s="866"/>
    </row>
    <row r="812" spans="1:84" ht="86.25" hidden="1" customHeight="1">
      <c r="A812" s="1467"/>
      <c r="B812" s="22"/>
      <c r="C812" s="22"/>
      <c r="D812" s="22"/>
      <c r="E812" s="921"/>
      <c r="F812" s="921"/>
      <c r="G812" s="925"/>
      <c r="H812" s="1793" t="s">
        <v>67</v>
      </c>
      <c r="I812" s="331"/>
      <c r="J812" s="331"/>
      <c r="K812" s="169">
        <v>2024</v>
      </c>
      <c r="L812" s="1446">
        <v>243010</v>
      </c>
      <c r="M812" s="1446"/>
      <c r="N812" s="170" t="s">
        <v>165</v>
      </c>
      <c r="O812" s="178" t="s">
        <v>6631</v>
      </c>
      <c r="P812" s="172" t="s">
        <v>46</v>
      </c>
      <c r="Q812" s="173" t="s">
        <v>6691</v>
      </c>
      <c r="R812" s="173" t="s">
        <v>2578</v>
      </c>
      <c r="S812" s="586">
        <f>3200*1.16</f>
        <v>3711.9999999999995</v>
      </c>
      <c r="T812" s="175">
        <v>45443</v>
      </c>
      <c r="U812" s="176">
        <v>45446</v>
      </c>
      <c r="V812" s="177">
        <v>45453</v>
      </c>
      <c r="W812" s="667"/>
      <c r="X812" s="178" t="s">
        <v>3472</v>
      </c>
      <c r="Y812" s="170" t="s">
        <v>6459</v>
      </c>
      <c r="Z812" s="1771" t="s">
        <v>67</v>
      </c>
      <c r="AA812" s="1772" t="s">
        <v>67</v>
      </c>
      <c r="AB812" s="256"/>
      <c r="AC812" s="8"/>
      <c r="AD812" s="4"/>
      <c r="AE812" s="4"/>
      <c r="AF812" s="32"/>
      <c r="AG812" s="1773" t="s">
        <v>67</v>
      </c>
      <c r="AH812" s="1774" t="s">
        <v>67</v>
      </c>
      <c r="AI812" s="1774" t="s">
        <v>67</v>
      </c>
      <c r="AJ812" s="1775" t="s">
        <v>67</v>
      </c>
      <c r="AK812" s="1776" t="s">
        <v>67</v>
      </c>
      <c r="AL812" s="1777" t="s">
        <v>67</v>
      </c>
      <c r="AM812" s="1680" t="s">
        <v>67</v>
      </c>
      <c r="AN812" s="1704"/>
      <c r="AO812" s="1680" t="s">
        <v>67</v>
      </c>
      <c r="AP812" s="1704"/>
      <c r="AQ812" s="1680" t="s">
        <v>67</v>
      </c>
      <c r="AR812" s="1704"/>
      <c r="AS812" s="1778"/>
      <c r="AT812" s="1779">
        <v>0</v>
      </c>
      <c r="AU812" s="1780">
        <v>0</v>
      </c>
      <c r="AV812" s="1781">
        <v>0</v>
      </c>
      <c r="AW812" s="1782" t="s">
        <v>67</v>
      </c>
      <c r="AX812" s="1701" t="s">
        <v>67</v>
      </c>
      <c r="AY812" s="1702" t="s">
        <v>67</v>
      </c>
      <c r="AZ812" s="1703" t="s">
        <v>67</v>
      </c>
      <c r="BA812" s="231"/>
      <c r="BB812" s="5"/>
      <c r="BC812" s="5"/>
      <c r="BD812" s="11"/>
      <c r="BE812" s="231"/>
      <c r="BF812" s="509"/>
      <c r="BG812" s="5"/>
      <c r="BH812" s="5"/>
      <c r="BI812" s="5"/>
      <c r="BJ812" s="64"/>
      <c r="BK812" s="1784" t="s">
        <v>67</v>
      </c>
      <c r="BL812" s="1139"/>
      <c r="BM812" s="1785" t="s">
        <v>67</v>
      </c>
      <c r="BN812" s="1786" t="s">
        <v>67</v>
      </c>
      <c r="BO812" s="1786" t="s">
        <v>67</v>
      </c>
      <c r="BP812" s="1787" t="s">
        <v>67</v>
      </c>
      <c r="BQ812" s="1787" t="s">
        <v>67</v>
      </c>
      <c r="BR812" s="1787" t="s">
        <v>67</v>
      </c>
      <c r="BS812" s="1787" t="s">
        <v>67</v>
      </c>
      <c r="BT812" s="1787" t="s">
        <v>67</v>
      </c>
      <c r="BU812" s="1787" t="s">
        <v>67</v>
      </c>
      <c r="BV812" s="1787" t="s">
        <v>67</v>
      </c>
      <c r="BW812" s="1785" t="s">
        <v>67</v>
      </c>
      <c r="BX812" s="13"/>
      <c r="BY812" s="22"/>
      <c r="BZ812" s="22"/>
      <c r="CA812" s="22"/>
      <c r="CB812" s="22"/>
      <c r="CC812" s="22"/>
      <c r="CD812" s="22"/>
      <c r="CE812" s="1246" t="s">
        <v>3947</v>
      </c>
      <c r="CF812" s="866"/>
    </row>
    <row r="813" spans="1:84" ht="96.75" hidden="1" customHeight="1">
      <c r="A813" s="1467"/>
      <c r="B813" s="22"/>
      <c r="C813" s="22"/>
      <c r="D813" s="22"/>
      <c r="E813" s="921"/>
      <c r="F813" s="921"/>
      <c r="G813" s="925"/>
      <c r="H813" s="1793" t="s">
        <v>67</v>
      </c>
      <c r="I813" s="331"/>
      <c r="J813" s="331"/>
      <c r="K813" s="169">
        <v>2024</v>
      </c>
      <c r="L813" s="1446">
        <v>243010</v>
      </c>
      <c r="M813" s="1446"/>
      <c r="N813" s="170" t="s">
        <v>165</v>
      </c>
      <c r="O813" s="178" t="s">
        <v>6632</v>
      </c>
      <c r="P813" s="172" t="s">
        <v>46</v>
      </c>
      <c r="Q813" s="173" t="s">
        <v>6692</v>
      </c>
      <c r="R813" s="173" t="s">
        <v>1975</v>
      </c>
      <c r="S813" s="1717">
        <f>600*1.16</f>
        <v>696</v>
      </c>
      <c r="T813" s="641">
        <v>45372</v>
      </c>
      <c r="U813" s="1957">
        <v>45358</v>
      </c>
      <c r="V813" s="1958">
        <v>45363</v>
      </c>
      <c r="W813" s="667"/>
      <c r="X813" s="178" t="s">
        <v>6241</v>
      </c>
      <c r="Y813" s="170" t="s">
        <v>448</v>
      </c>
      <c r="Z813" s="1771" t="s">
        <v>67</v>
      </c>
      <c r="AA813" s="1772" t="s">
        <v>67</v>
      </c>
      <c r="AB813" s="256"/>
      <c r="AC813" s="8"/>
      <c r="AD813" s="4"/>
      <c r="AE813" s="4"/>
      <c r="AF813" s="32"/>
      <c r="AG813" s="1773" t="s">
        <v>67</v>
      </c>
      <c r="AH813" s="1774" t="s">
        <v>67</v>
      </c>
      <c r="AI813" s="1774" t="s">
        <v>67</v>
      </c>
      <c r="AJ813" s="1775" t="s">
        <v>67</v>
      </c>
      <c r="AK813" s="1776" t="s">
        <v>67</v>
      </c>
      <c r="AL813" s="1777" t="s">
        <v>67</v>
      </c>
      <c r="AM813" s="1680" t="s">
        <v>67</v>
      </c>
      <c r="AN813" s="1704"/>
      <c r="AO813" s="1680" t="s">
        <v>67</v>
      </c>
      <c r="AP813" s="1704"/>
      <c r="AQ813" s="1680" t="s">
        <v>67</v>
      </c>
      <c r="AR813" s="1704"/>
      <c r="AS813" s="1778"/>
      <c r="AT813" s="1779">
        <v>0</v>
      </c>
      <c r="AU813" s="1780">
        <v>0</v>
      </c>
      <c r="AV813" s="1781">
        <v>0</v>
      </c>
      <c r="AW813" s="1782" t="s">
        <v>67</v>
      </c>
      <c r="AX813" s="1701" t="s">
        <v>67</v>
      </c>
      <c r="AY813" s="1702" t="s">
        <v>67</v>
      </c>
      <c r="AZ813" s="1703" t="s">
        <v>67</v>
      </c>
      <c r="BA813" s="231"/>
      <c r="BB813" s="5"/>
      <c r="BC813" s="5"/>
      <c r="BD813" s="11"/>
      <c r="BE813" s="231"/>
      <c r="BF813" s="509"/>
      <c r="BG813" s="5"/>
      <c r="BH813" s="5"/>
      <c r="BI813" s="5"/>
      <c r="BJ813" s="64"/>
      <c r="BK813" s="1784" t="s">
        <v>67</v>
      </c>
      <c r="BL813" s="1139"/>
      <c r="BM813" s="1785" t="s">
        <v>67</v>
      </c>
      <c r="BN813" s="1786" t="s">
        <v>67</v>
      </c>
      <c r="BO813" s="1786" t="s">
        <v>67</v>
      </c>
      <c r="BP813" s="1787" t="s">
        <v>67</v>
      </c>
      <c r="BQ813" s="1787" t="s">
        <v>67</v>
      </c>
      <c r="BR813" s="1787" t="s">
        <v>67</v>
      </c>
      <c r="BS813" s="1787" t="s">
        <v>67</v>
      </c>
      <c r="BT813" s="1787" t="s">
        <v>67</v>
      </c>
      <c r="BU813" s="1787" t="s">
        <v>67</v>
      </c>
      <c r="BV813" s="1787" t="s">
        <v>67</v>
      </c>
      <c r="BW813" s="1785" t="s">
        <v>67</v>
      </c>
      <c r="BX813" s="13"/>
      <c r="BY813" s="22"/>
      <c r="BZ813" s="22"/>
      <c r="CA813" s="22"/>
      <c r="CB813" s="22"/>
      <c r="CC813" s="22"/>
      <c r="CD813" s="22"/>
      <c r="CE813" s="1246" t="s">
        <v>3947</v>
      </c>
      <c r="CF813" s="866"/>
    </row>
    <row r="814" spans="1:84" ht="162.75" hidden="1" customHeight="1">
      <c r="A814" s="1467"/>
      <c r="B814" s="22"/>
      <c r="C814" s="22"/>
      <c r="D814" s="22"/>
      <c r="E814" s="921"/>
      <c r="F814" s="921"/>
      <c r="G814" s="925"/>
      <c r="H814" s="1793" t="s">
        <v>67</v>
      </c>
      <c r="I814" s="331"/>
      <c r="J814" s="331"/>
      <c r="K814" s="169">
        <v>2024</v>
      </c>
      <c r="L814" s="1446">
        <v>243010</v>
      </c>
      <c r="M814" s="1446"/>
      <c r="N814" s="170" t="s">
        <v>165</v>
      </c>
      <c r="O814" s="178" t="s">
        <v>6633</v>
      </c>
      <c r="P814" s="172" t="s">
        <v>46</v>
      </c>
      <c r="Q814" s="173" t="s">
        <v>6693</v>
      </c>
      <c r="R814" s="173" t="s">
        <v>2541</v>
      </c>
      <c r="S814" s="586">
        <f>(680+660+950+580)*1.16</f>
        <v>3329.2</v>
      </c>
      <c r="T814" s="175">
        <v>45415</v>
      </c>
      <c r="U814" s="176">
        <v>45418</v>
      </c>
      <c r="V814" s="177">
        <v>45437</v>
      </c>
      <c r="W814" s="667"/>
      <c r="X814" s="178" t="s">
        <v>6241</v>
      </c>
      <c r="Y814" s="170" t="s">
        <v>69</v>
      </c>
      <c r="Z814" s="1771" t="s">
        <v>67</v>
      </c>
      <c r="AA814" s="1772" t="s">
        <v>67</v>
      </c>
      <c r="AB814" s="256"/>
      <c r="AC814" s="8"/>
      <c r="AD814" s="4"/>
      <c r="AE814" s="4"/>
      <c r="AF814" s="32"/>
      <c r="AG814" s="1773" t="s">
        <v>67</v>
      </c>
      <c r="AH814" s="1774" t="s">
        <v>67</v>
      </c>
      <c r="AI814" s="1774" t="s">
        <v>67</v>
      </c>
      <c r="AJ814" s="1775" t="s">
        <v>67</v>
      </c>
      <c r="AK814" s="1776" t="s">
        <v>67</v>
      </c>
      <c r="AL814" s="1777" t="s">
        <v>67</v>
      </c>
      <c r="AM814" s="1680" t="s">
        <v>67</v>
      </c>
      <c r="AN814" s="1704"/>
      <c r="AO814" s="1680" t="s">
        <v>67</v>
      </c>
      <c r="AP814" s="1704"/>
      <c r="AQ814" s="1680" t="s">
        <v>67</v>
      </c>
      <c r="AR814" s="1704"/>
      <c r="AS814" s="1778"/>
      <c r="AT814" s="1779">
        <v>0</v>
      </c>
      <c r="AU814" s="1780">
        <v>0</v>
      </c>
      <c r="AV814" s="1781">
        <v>0</v>
      </c>
      <c r="AW814" s="1782" t="s">
        <v>67</v>
      </c>
      <c r="AX814" s="1701" t="s">
        <v>67</v>
      </c>
      <c r="AY814" s="1702" t="s">
        <v>67</v>
      </c>
      <c r="AZ814" s="1703" t="s">
        <v>67</v>
      </c>
      <c r="BA814" s="231"/>
      <c r="BB814" s="5"/>
      <c r="BC814" s="5"/>
      <c r="BD814" s="11"/>
      <c r="BE814" s="231"/>
      <c r="BF814" s="509"/>
      <c r="BG814" s="5"/>
      <c r="BH814" s="5"/>
      <c r="BI814" s="5"/>
      <c r="BJ814" s="64"/>
      <c r="BK814" s="1784" t="s">
        <v>67</v>
      </c>
      <c r="BL814" s="1139"/>
      <c r="BM814" s="1785" t="s">
        <v>67</v>
      </c>
      <c r="BN814" s="1786" t="s">
        <v>67</v>
      </c>
      <c r="BO814" s="1786" t="s">
        <v>67</v>
      </c>
      <c r="BP814" s="1787" t="s">
        <v>67</v>
      </c>
      <c r="BQ814" s="1787" t="s">
        <v>67</v>
      </c>
      <c r="BR814" s="1787" t="s">
        <v>67</v>
      </c>
      <c r="BS814" s="1787" t="s">
        <v>67</v>
      </c>
      <c r="BT814" s="1787" t="s">
        <v>67</v>
      </c>
      <c r="BU814" s="1787" t="s">
        <v>67</v>
      </c>
      <c r="BV814" s="1787" t="s">
        <v>67</v>
      </c>
      <c r="BW814" s="1785" t="s">
        <v>67</v>
      </c>
      <c r="BX814" s="13"/>
      <c r="BY814" s="22"/>
      <c r="BZ814" s="22"/>
      <c r="CA814" s="22"/>
      <c r="CB814" s="22"/>
      <c r="CC814" s="22"/>
      <c r="CD814" s="22"/>
      <c r="CE814" s="1246" t="s">
        <v>3947</v>
      </c>
      <c r="CF814" s="866" t="s">
        <v>6694</v>
      </c>
    </row>
    <row r="815" spans="1:84" s="1963" customFormat="1" ht="30" hidden="1" customHeight="1">
      <c r="A815" s="1633"/>
      <c r="B815" s="1964"/>
      <c r="C815" s="1964"/>
      <c r="D815" s="1964"/>
      <c r="E815" s="1965"/>
      <c r="F815" s="1965"/>
      <c r="G815" s="1966"/>
      <c r="H815" s="1967" t="s">
        <v>67</v>
      </c>
      <c r="I815" s="1967"/>
      <c r="J815" s="1967"/>
      <c r="K815" s="1968">
        <v>2024</v>
      </c>
      <c r="L815" s="1969">
        <v>243010</v>
      </c>
      <c r="M815" s="1969"/>
      <c r="N815" s="1970" t="s">
        <v>165</v>
      </c>
      <c r="O815" s="1962" t="s">
        <v>6634</v>
      </c>
      <c r="P815" s="1971" t="s">
        <v>250</v>
      </c>
      <c r="Q815" s="1959" t="s">
        <v>250</v>
      </c>
      <c r="R815" s="1959" t="s">
        <v>67</v>
      </c>
      <c r="S815" s="1960"/>
      <c r="T815" s="641" t="s">
        <v>67</v>
      </c>
      <c r="U815" s="1957"/>
      <c r="V815" s="1958"/>
      <c r="W815" s="1961"/>
      <c r="X815" s="1962"/>
      <c r="Y815" s="1970" t="s">
        <v>6459</v>
      </c>
      <c r="Z815" s="670" t="s">
        <v>67</v>
      </c>
      <c r="AA815" s="1405" t="s">
        <v>67</v>
      </c>
      <c r="AB815" s="1901"/>
      <c r="AC815" s="1972"/>
      <c r="AD815" s="1973"/>
      <c r="AE815" s="1973"/>
      <c r="AF815" s="1974"/>
      <c r="AG815" s="1975" t="s">
        <v>67</v>
      </c>
      <c r="AH815" s="1361" t="s">
        <v>67</v>
      </c>
      <c r="AI815" s="1361" t="s">
        <v>67</v>
      </c>
      <c r="AJ815" s="1356" t="s">
        <v>67</v>
      </c>
      <c r="AK815" s="1357" t="s">
        <v>67</v>
      </c>
      <c r="AL815" s="1901" t="s">
        <v>67</v>
      </c>
      <c r="AM815" s="131" t="s">
        <v>67</v>
      </c>
      <c r="AN815" s="235"/>
      <c r="AO815" s="131" t="s">
        <v>67</v>
      </c>
      <c r="AP815" s="235"/>
      <c r="AQ815" s="131" t="s">
        <v>67</v>
      </c>
      <c r="AR815" s="235"/>
      <c r="AS815" s="281"/>
      <c r="AT815" s="1976">
        <v>0</v>
      </c>
      <c r="AU815" s="1977">
        <v>0</v>
      </c>
      <c r="AV815" s="1978">
        <v>0</v>
      </c>
      <c r="AW815" s="247" t="s">
        <v>67</v>
      </c>
      <c r="AX815" s="1979" t="s">
        <v>67</v>
      </c>
      <c r="AY815" s="1980" t="s">
        <v>67</v>
      </c>
      <c r="AZ815" s="1981" t="s">
        <v>67</v>
      </c>
      <c r="BA815" s="247"/>
      <c r="BB815" s="235"/>
      <c r="BC815" s="235"/>
      <c r="BD815" s="1979"/>
      <c r="BE815" s="247"/>
      <c r="BF815" s="1572"/>
      <c r="BG815" s="235"/>
      <c r="BH815" s="235"/>
      <c r="BI815" s="235"/>
      <c r="BJ815" s="246"/>
      <c r="BK815" s="1903" t="s">
        <v>67</v>
      </c>
      <c r="BL815" s="1982"/>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903" t="s">
        <v>250</v>
      </c>
      <c r="BY815" s="1964"/>
      <c r="BZ815" s="1964"/>
      <c r="CA815" s="1964"/>
      <c r="CB815" s="1964"/>
      <c r="CC815" s="1964"/>
      <c r="CD815" s="1964"/>
      <c r="CE815" s="1983" t="s">
        <v>3947</v>
      </c>
      <c r="CF815" s="1984"/>
    </row>
    <row r="816" spans="1:84" ht="180.75" hidden="1" customHeight="1">
      <c r="A816" s="1467"/>
      <c r="B816" s="22"/>
      <c r="C816" s="22"/>
      <c r="D816" s="22"/>
      <c r="E816" s="921"/>
      <c r="F816" s="921"/>
      <c r="G816" s="925"/>
      <c r="H816" s="1793" t="s">
        <v>67</v>
      </c>
      <c r="I816" s="331"/>
      <c r="J816" s="331"/>
      <c r="K816" s="169">
        <v>2024</v>
      </c>
      <c r="L816" s="1446">
        <v>243010</v>
      </c>
      <c r="M816" s="1446"/>
      <c r="N816" s="170" t="s">
        <v>165</v>
      </c>
      <c r="O816" s="178" t="s">
        <v>6635</v>
      </c>
      <c r="P816" s="172" t="s">
        <v>46</v>
      </c>
      <c r="Q816" s="173" t="s">
        <v>6696</v>
      </c>
      <c r="R816" s="173" t="s">
        <v>6697</v>
      </c>
      <c r="S816" s="586">
        <f>(680+900+910)*1.16</f>
        <v>2888.3999999999996</v>
      </c>
      <c r="T816" s="175">
        <v>45468</v>
      </c>
      <c r="U816" s="176">
        <v>45469</v>
      </c>
      <c r="V816" s="177">
        <v>45499</v>
      </c>
      <c r="W816" s="667"/>
      <c r="X816" s="178" t="s">
        <v>6698</v>
      </c>
      <c r="Y816" s="170" t="s">
        <v>69</v>
      </c>
      <c r="Z816" s="1771" t="s">
        <v>67</v>
      </c>
      <c r="AA816" s="1772" t="s">
        <v>67</v>
      </c>
      <c r="AB816" s="256"/>
      <c r="AC816" s="8"/>
      <c r="AD816" s="4"/>
      <c r="AE816" s="4"/>
      <c r="AF816" s="32"/>
      <c r="AG816" s="1773" t="s">
        <v>67</v>
      </c>
      <c r="AH816" s="1774" t="s">
        <v>67</v>
      </c>
      <c r="AI816" s="1774" t="s">
        <v>67</v>
      </c>
      <c r="AJ816" s="1775" t="s">
        <v>67</v>
      </c>
      <c r="AK816" s="1776" t="s">
        <v>67</v>
      </c>
      <c r="AL816" s="1777" t="s">
        <v>67</v>
      </c>
      <c r="AM816" s="1680" t="s">
        <v>67</v>
      </c>
      <c r="AN816" s="1704"/>
      <c r="AO816" s="1680" t="s">
        <v>67</v>
      </c>
      <c r="AP816" s="1704"/>
      <c r="AQ816" s="1680" t="s">
        <v>67</v>
      </c>
      <c r="AR816" s="1704"/>
      <c r="AS816" s="1778"/>
      <c r="AT816" s="1779">
        <v>0</v>
      </c>
      <c r="AU816" s="1780">
        <v>0</v>
      </c>
      <c r="AV816" s="1781">
        <v>0</v>
      </c>
      <c r="AW816" s="1782" t="s">
        <v>67</v>
      </c>
      <c r="AX816" s="1701" t="s">
        <v>67</v>
      </c>
      <c r="AY816" s="1702" t="s">
        <v>67</v>
      </c>
      <c r="AZ816" s="1703" t="s">
        <v>67</v>
      </c>
      <c r="BA816" s="231"/>
      <c r="BB816" s="5"/>
      <c r="BC816" s="5"/>
      <c r="BD816" s="11"/>
      <c r="BE816" s="231"/>
      <c r="BF816" s="509"/>
      <c r="BG816" s="5"/>
      <c r="BH816" s="5"/>
      <c r="BI816" s="5"/>
      <c r="BJ816" s="64"/>
      <c r="BK816" s="1784" t="s">
        <v>67</v>
      </c>
      <c r="BL816" s="1139"/>
      <c r="BM816" s="1785" t="s">
        <v>67</v>
      </c>
      <c r="BN816" s="1786" t="s">
        <v>67</v>
      </c>
      <c r="BO816" s="1786" t="s">
        <v>67</v>
      </c>
      <c r="BP816" s="1787" t="s">
        <v>67</v>
      </c>
      <c r="BQ816" s="1787" t="s">
        <v>67</v>
      </c>
      <c r="BR816" s="1787" t="s">
        <v>67</v>
      </c>
      <c r="BS816" s="1787" t="s">
        <v>67</v>
      </c>
      <c r="BT816" s="1787" t="s">
        <v>67</v>
      </c>
      <c r="BU816" s="1787" t="s">
        <v>67</v>
      </c>
      <c r="BV816" s="1787" t="s">
        <v>67</v>
      </c>
      <c r="BW816" s="1785" t="s">
        <v>67</v>
      </c>
      <c r="BX816" s="13"/>
      <c r="BY816" s="22"/>
      <c r="BZ816" s="22"/>
      <c r="CA816" s="22"/>
      <c r="CB816" s="22"/>
      <c r="CC816" s="22"/>
      <c r="CD816" s="22"/>
      <c r="CE816" s="1246" t="s">
        <v>3947</v>
      </c>
      <c r="CF816" s="866" t="s">
        <v>6699</v>
      </c>
    </row>
    <row r="817" spans="1:84" ht="142.5" hidden="1" customHeight="1">
      <c r="A817" s="1467"/>
      <c r="B817" s="22"/>
      <c r="C817" s="22"/>
      <c r="D817" s="22"/>
      <c r="E817" s="921"/>
      <c r="F817" s="921"/>
      <c r="G817" s="925"/>
      <c r="H817" s="1793" t="s">
        <v>67</v>
      </c>
      <c r="I817" s="331"/>
      <c r="J817" s="331"/>
      <c r="K817" s="169">
        <v>2024</v>
      </c>
      <c r="L817" s="1446">
        <v>243010</v>
      </c>
      <c r="M817" s="1446"/>
      <c r="N817" s="170" t="s">
        <v>165</v>
      </c>
      <c r="O817" s="178" t="s">
        <v>6636</v>
      </c>
      <c r="P817" s="172" t="s">
        <v>46</v>
      </c>
      <c r="Q817" s="173" t="s">
        <v>6700</v>
      </c>
      <c r="R817" s="173" t="s">
        <v>2617</v>
      </c>
      <c r="S817" s="586">
        <f>1080*1.16</f>
        <v>1252.8</v>
      </c>
      <c r="T817" s="175">
        <v>45397</v>
      </c>
      <c r="U817" s="176">
        <v>45399</v>
      </c>
      <c r="V817" s="177">
        <v>45434</v>
      </c>
      <c r="W817" s="667"/>
      <c r="X817" s="178" t="s">
        <v>6701</v>
      </c>
      <c r="Y817" s="170" t="s">
        <v>212</v>
      </c>
      <c r="Z817" s="1771" t="s">
        <v>67</v>
      </c>
      <c r="AA817" s="1772" t="s">
        <v>67</v>
      </c>
      <c r="AB817" s="256"/>
      <c r="AC817" s="8"/>
      <c r="AD817" s="4"/>
      <c r="AE817" s="4"/>
      <c r="AF817" s="32"/>
      <c r="AG817" s="1773" t="s">
        <v>67</v>
      </c>
      <c r="AH817" s="1774" t="s">
        <v>67</v>
      </c>
      <c r="AI817" s="1774" t="s">
        <v>67</v>
      </c>
      <c r="AJ817" s="1775" t="s">
        <v>67</v>
      </c>
      <c r="AK817" s="1776" t="s">
        <v>67</v>
      </c>
      <c r="AL817" s="1777" t="s">
        <v>67</v>
      </c>
      <c r="AM817" s="1680" t="s">
        <v>67</v>
      </c>
      <c r="AN817" s="1704"/>
      <c r="AO817" s="1680" t="s">
        <v>67</v>
      </c>
      <c r="AP817" s="1704"/>
      <c r="AQ817" s="1680" t="s">
        <v>67</v>
      </c>
      <c r="AR817" s="1704"/>
      <c r="AS817" s="1778"/>
      <c r="AT817" s="1779">
        <v>0</v>
      </c>
      <c r="AU817" s="1780">
        <v>0</v>
      </c>
      <c r="AV817" s="1781">
        <v>0</v>
      </c>
      <c r="AW817" s="1782" t="s">
        <v>67</v>
      </c>
      <c r="AX817" s="1701" t="s">
        <v>67</v>
      </c>
      <c r="AY817" s="1702" t="s">
        <v>67</v>
      </c>
      <c r="AZ817" s="1703" t="s">
        <v>67</v>
      </c>
      <c r="BA817" s="231"/>
      <c r="BB817" s="5"/>
      <c r="BC817" s="5"/>
      <c r="BD817" s="11"/>
      <c r="BE817" s="231"/>
      <c r="BF817" s="509"/>
      <c r="BG817" s="5"/>
      <c r="BH817" s="5"/>
      <c r="BI817" s="5"/>
      <c r="BJ817" s="64"/>
      <c r="BK817" s="1784" t="s">
        <v>67</v>
      </c>
      <c r="BL817" s="1139"/>
      <c r="BM817" s="1785" t="s">
        <v>67</v>
      </c>
      <c r="BN817" s="1786" t="s">
        <v>67</v>
      </c>
      <c r="BO817" s="1786" t="s">
        <v>67</v>
      </c>
      <c r="BP817" s="1787" t="s">
        <v>67</v>
      </c>
      <c r="BQ817" s="1787" t="s">
        <v>67</v>
      </c>
      <c r="BR817" s="1787" t="s">
        <v>67</v>
      </c>
      <c r="BS817" s="1787" t="s">
        <v>67</v>
      </c>
      <c r="BT817" s="1787" t="s">
        <v>67</v>
      </c>
      <c r="BU817" s="1787" t="s">
        <v>67</v>
      </c>
      <c r="BV817" s="1787" t="s">
        <v>67</v>
      </c>
      <c r="BW817" s="1785" t="s">
        <v>67</v>
      </c>
      <c r="BX817" s="13"/>
      <c r="BY817" s="22"/>
      <c r="BZ817" s="22"/>
      <c r="CA817" s="22"/>
      <c r="CB817" s="22"/>
      <c r="CC817" s="22"/>
      <c r="CD817" s="22"/>
      <c r="CE817" s="1246" t="s">
        <v>3947</v>
      </c>
      <c r="CF817" s="866" t="s">
        <v>6702</v>
      </c>
    </row>
    <row r="818" spans="1:84" s="1963" customFormat="1" ht="30" hidden="1" customHeight="1">
      <c r="A818" s="1633"/>
      <c r="B818" s="1964"/>
      <c r="C818" s="1964"/>
      <c r="D818" s="1964"/>
      <c r="E818" s="1965"/>
      <c r="F818" s="1965"/>
      <c r="G818" s="1966"/>
      <c r="H818" s="1967" t="s">
        <v>67</v>
      </c>
      <c r="I818" s="1967"/>
      <c r="J818" s="1967"/>
      <c r="K818" s="1968">
        <v>2024</v>
      </c>
      <c r="L818" s="1969">
        <v>243010</v>
      </c>
      <c r="M818" s="1969"/>
      <c r="N818" s="1970" t="s">
        <v>165</v>
      </c>
      <c r="O818" s="1962" t="s">
        <v>6637</v>
      </c>
      <c r="P818" s="1971" t="s">
        <v>250</v>
      </c>
      <c r="Q818" s="1959" t="s">
        <v>250</v>
      </c>
      <c r="R818" s="1959" t="s">
        <v>67</v>
      </c>
      <c r="S818" s="1960"/>
      <c r="T818" s="641" t="s">
        <v>67</v>
      </c>
      <c r="U818" s="1957"/>
      <c r="V818" s="1958"/>
      <c r="W818" s="1961"/>
      <c r="X818" s="1962"/>
      <c r="Y818" s="1970" t="s">
        <v>6459</v>
      </c>
      <c r="Z818" s="670" t="s">
        <v>67</v>
      </c>
      <c r="AA818" s="1405" t="s">
        <v>67</v>
      </c>
      <c r="AB818" s="1901"/>
      <c r="AC818" s="1972"/>
      <c r="AD818" s="1973"/>
      <c r="AE818" s="1973"/>
      <c r="AF818" s="1974"/>
      <c r="AG818" s="1975" t="s">
        <v>67</v>
      </c>
      <c r="AH818" s="1361" t="s">
        <v>67</v>
      </c>
      <c r="AI818" s="1361" t="s">
        <v>67</v>
      </c>
      <c r="AJ818" s="1356" t="s">
        <v>67</v>
      </c>
      <c r="AK818" s="1357" t="s">
        <v>67</v>
      </c>
      <c r="AL818" s="1901" t="s">
        <v>67</v>
      </c>
      <c r="AM818" s="131" t="s">
        <v>67</v>
      </c>
      <c r="AN818" s="235"/>
      <c r="AO818" s="131" t="s">
        <v>67</v>
      </c>
      <c r="AP818" s="235"/>
      <c r="AQ818" s="131" t="s">
        <v>67</v>
      </c>
      <c r="AR818" s="235"/>
      <c r="AS818" s="281"/>
      <c r="AT818" s="1976">
        <v>0</v>
      </c>
      <c r="AU818" s="1977">
        <v>0</v>
      </c>
      <c r="AV818" s="1978">
        <v>0</v>
      </c>
      <c r="AW818" s="247" t="s">
        <v>67</v>
      </c>
      <c r="AX818" s="1979" t="s">
        <v>67</v>
      </c>
      <c r="AY818" s="1980" t="s">
        <v>67</v>
      </c>
      <c r="AZ818" s="1981" t="s">
        <v>67</v>
      </c>
      <c r="BA818" s="247"/>
      <c r="BB818" s="235"/>
      <c r="BC818" s="235"/>
      <c r="BD818" s="1979"/>
      <c r="BE818" s="247"/>
      <c r="BF818" s="1572"/>
      <c r="BG818" s="235"/>
      <c r="BH818" s="235"/>
      <c r="BI818" s="235"/>
      <c r="BJ818" s="246"/>
      <c r="BK818" s="1903" t="s">
        <v>67</v>
      </c>
      <c r="BL818" s="1982"/>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903" t="s">
        <v>250</v>
      </c>
      <c r="BY818" s="1964"/>
      <c r="BZ818" s="1964"/>
      <c r="CA818" s="1964"/>
      <c r="CB818" s="1964"/>
      <c r="CC818" s="1964"/>
      <c r="CD818" s="1964"/>
      <c r="CE818" s="1983" t="s">
        <v>3947</v>
      </c>
      <c r="CF818" s="1984"/>
    </row>
    <row r="819" spans="1:84" ht="155.25" hidden="1" customHeight="1">
      <c r="A819" s="1467"/>
      <c r="B819" s="22"/>
      <c r="C819" s="22"/>
      <c r="D819" s="22"/>
      <c r="E819" s="921"/>
      <c r="F819" s="921"/>
      <c r="G819" s="925"/>
      <c r="H819" s="1793" t="s">
        <v>67</v>
      </c>
      <c r="I819" s="331"/>
      <c r="J819" s="331"/>
      <c r="K819" s="169">
        <v>2024</v>
      </c>
      <c r="L819" s="1446">
        <v>243010</v>
      </c>
      <c r="M819" s="1446"/>
      <c r="N819" s="170" t="s">
        <v>165</v>
      </c>
      <c r="O819" s="178" t="s">
        <v>6638</v>
      </c>
      <c r="P819" s="172" t="s">
        <v>46</v>
      </c>
      <c r="Q819" s="173" t="s">
        <v>6703</v>
      </c>
      <c r="R819" s="173" t="s">
        <v>1975</v>
      </c>
      <c r="S819" s="586">
        <f>603.45*2*1.16</f>
        <v>1400.0039999999999</v>
      </c>
      <c r="T819" s="175">
        <v>45491</v>
      </c>
      <c r="U819" s="176">
        <v>45495</v>
      </c>
      <c r="V819" s="177">
        <v>45504</v>
      </c>
      <c r="W819" s="667"/>
      <c r="X819" s="178" t="s">
        <v>3472</v>
      </c>
      <c r="Y819" s="170" t="s">
        <v>1106</v>
      </c>
      <c r="Z819" s="1771" t="s">
        <v>67</v>
      </c>
      <c r="AA819" s="1772" t="s">
        <v>67</v>
      </c>
      <c r="AB819" s="256"/>
      <c r="AC819" s="8"/>
      <c r="AD819" s="4"/>
      <c r="AE819" s="4"/>
      <c r="AF819" s="32"/>
      <c r="AG819" s="1773" t="s">
        <v>67</v>
      </c>
      <c r="AH819" s="1774" t="s">
        <v>67</v>
      </c>
      <c r="AI819" s="1774" t="s">
        <v>67</v>
      </c>
      <c r="AJ819" s="1775" t="s">
        <v>67</v>
      </c>
      <c r="AK819" s="1776" t="s">
        <v>67</v>
      </c>
      <c r="AL819" s="1777" t="s">
        <v>67</v>
      </c>
      <c r="AM819" s="1680" t="s">
        <v>67</v>
      </c>
      <c r="AN819" s="1704"/>
      <c r="AO819" s="1680" t="s">
        <v>67</v>
      </c>
      <c r="AP819" s="1704"/>
      <c r="AQ819" s="1680" t="s">
        <v>67</v>
      </c>
      <c r="AR819" s="1704"/>
      <c r="AS819" s="1778"/>
      <c r="AT819" s="1779">
        <v>0</v>
      </c>
      <c r="AU819" s="1780">
        <v>0</v>
      </c>
      <c r="AV819" s="1781">
        <v>0</v>
      </c>
      <c r="AW819" s="1782" t="s">
        <v>67</v>
      </c>
      <c r="AX819" s="1701" t="s">
        <v>67</v>
      </c>
      <c r="AY819" s="1702" t="s">
        <v>67</v>
      </c>
      <c r="AZ819" s="1703" t="s">
        <v>67</v>
      </c>
      <c r="BA819" s="231"/>
      <c r="BB819" s="5"/>
      <c r="BC819" s="5"/>
      <c r="BD819" s="11"/>
      <c r="BE819" s="231"/>
      <c r="BF819" s="509"/>
      <c r="BG819" s="5"/>
      <c r="BH819" s="5"/>
      <c r="BI819" s="5"/>
      <c r="BJ819" s="64"/>
      <c r="BK819" s="1784" t="s">
        <v>67</v>
      </c>
      <c r="BL819" s="1139"/>
      <c r="BM819" s="1785" t="s">
        <v>67</v>
      </c>
      <c r="BN819" s="1786" t="s">
        <v>67</v>
      </c>
      <c r="BO819" s="1786" t="s">
        <v>67</v>
      </c>
      <c r="BP819" s="1787" t="s">
        <v>67</v>
      </c>
      <c r="BQ819" s="1787" t="s">
        <v>67</v>
      </c>
      <c r="BR819" s="1787" t="s">
        <v>67</v>
      </c>
      <c r="BS819" s="1787" t="s">
        <v>67</v>
      </c>
      <c r="BT819" s="1787" t="s">
        <v>67</v>
      </c>
      <c r="BU819" s="1787" t="s">
        <v>67</v>
      </c>
      <c r="BV819" s="1787" t="s">
        <v>67</v>
      </c>
      <c r="BW819" s="1785" t="s">
        <v>67</v>
      </c>
      <c r="BX819" s="13"/>
      <c r="BY819" s="22"/>
      <c r="BZ819" s="22"/>
      <c r="CA819" s="22"/>
      <c r="CB819" s="22"/>
      <c r="CC819" s="22"/>
      <c r="CD819" s="22"/>
      <c r="CE819" s="1246" t="s">
        <v>3947</v>
      </c>
      <c r="CF819" s="866" t="s">
        <v>6704</v>
      </c>
    </row>
    <row r="820" spans="1:84" ht="158.25" hidden="1" customHeight="1">
      <c r="A820" s="1467"/>
      <c r="B820" s="22"/>
      <c r="C820" s="22"/>
      <c r="D820" s="22"/>
      <c r="E820" s="921"/>
      <c r="F820" s="921"/>
      <c r="G820" s="925"/>
      <c r="H820" s="1793" t="s">
        <v>67</v>
      </c>
      <c r="I820" s="331"/>
      <c r="J820" s="331"/>
      <c r="K820" s="169">
        <v>2024</v>
      </c>
      <c r="L820" s="1446">
        <v>243010</v>
      </c>
      <c r="M820" s="1446"/>
      <c r="N820" s="170" t="s">
        <v>165</v>
      </c>
      <c r="O820" s="178" t="s">
        <v>6639</v>
      </c>
      <c r="P820" s="172" t="s">
        <v>46</v>
      </c>
      <c r="Q820" s="173" t="s">
        <v>6705</v>
      </c>
      <c r="R820" s="173" t="s">
        <v>1975</v>
      </c>
      <c r="S820" s="586">
        <f>(650+1450+5000+650+450)*1.16</f>
        <v>9512</v>
      </c>
      <c r="T820" s="175">
        <v>45531</v>
      </c>
      <c r="U820" s="176">
        <v>45533</v>
      </c>
      <c r="V820" s="177">
        <v>45537</v>
      </c>
      <c r="W820" s="667"/>
      <c r="X820" s="178" t="s">
        <v>738</v>
      </c>
      <c r="Y820" s="170" t="s">
        <v>69</v>
      </c>
      <c r="Z820" s="1771" t="s">
        <v>67</v>
      </c>
      <c r="AA820" s="1772" t="s">
        <v>67</v>
      </c>
      <c r="AB820" s="256"/>
      <c r="AC820" s="8"/>
      <c r="AD820" s="4"/>
      <c r="AE820" s="4"/>
      <c r="AF820" s="32"/>
      <c r="AG820" s="1773" t="s">
        <v>67</v>
      </c>
      <c r="AH820" s="1774" t="s">
        <v>67</v>
      </c>
      <c r="AI820" s="1774" t="s">
        <v>67</v>
      </c>
      <c r="AJ820" s="1775" t="s">
        <v>67</v>
      </c>
      <c r="AK820" s="1776" t="s">
        <v>67</v>
      </c>
      <c r="AL820" s="1777" t="s">
        <v>67</v>
      </c>
      <c r="AM820" s="1680" t="s">
        <v>67</v>
      </c>
      <c r="AN820" s="1704"/>
      <c r="AO820" s="1680" t="s">
        <v>67</v>
      </c>
      <c r="AP820" s="1704"/>
      <c r="AQ820" s="1680" t="s">
        <v>67</v>
      </c>
      <c r="AR820" s="1704"/>
      <c r="AS820" s="1778"/>
      <c r="AT820" s="1779">
        <v>0</v>
      </c>
      <c r="AU820" s="1780">
        <v>0</v>
      </c>
      <c r="AV820" s="1781">
        <v>0</v>
      </c>
      <c r="AW820" s="1782" t="s">
        <v>67</v>
      </c>
      <c r="AX820" s="1701" t="s">
        <v>67</v>
      </c>
      <c r="AY820" s="1702" t="s">
        <v>67</v>
      </c>
      <c r="AZ820" s="1703" t="s">
        <v>67</v>
      </c>
      <c r="BA820" s="231"/>
      <c r="BB820" s="5"/>
      <c r="BC820" s="5"/>
      <c r="BD820" s="11"/>
      <c r="BE820" s="231"/>
      <c r="BF820" s="509"/>
      <c r="BG820" s="5"/>
      <c r="BH820" s="5"/>
      <c r="BI820" s="5"/>
      <c r="BJ820" s="64"/>
      <c r="BK820" s="1784" t="s">
        <v>67</v>
      </c>
      <c r="BL820" s="1139"/>
      <c r="BM820" s="1785" t="s">
        <v>67</v>
      </c>
      <c r="BN820" s="1786" t="s">
        <v>67</v>
      </c>
      <c r="BO820" s="1786" t="s">
        <v>67</v>
      </c>
      <c r="BP820" s="1787" t="s">
        <v>67</v>
      </c>
      <c r="BQ820" s="1787" t="s">
        <v>67</v>
      </c>
      <c r="BR820" s="1787" t="s">
        <v>67</v>
      </c>
      <c r="BS820" s="1787" t="s">
        <v>67</v>
      </c>
      <c r="BT820" s="1787" t="s">
        <v>67</v>
      </c>
      <c r="BU820" s="1787" t="s">
        <v>67</v>
      </c>
      <c r="BV820" s="1787" t="s">
        <v>67</v>
      </c>
      <c r="BW820" s="1785" t="s">
        <v>67</v>
      </c>
      <c r="BX820" s="13"/>
      <c r="BY820" s="22"/>
      <c r="BZ820" s="22"/>
      <c r="CA820" s="22"/>
      <c r="CB820" s="22"/>
      <c r="CC820" s="22"/>
      <c r="CD820" s="22"/>
      <c r="CE820" s="1246" t="s">
        <v>3947</v>
      </c>
      <c r="CF820" s="866" t="s">
        <v>6706</v>
      </c>
    </row>
    <row r="821" spans="1:84" ht="174" hidden="1" customHeight="1">
      <c r="A821" s="1467"/>
      <c r="B821" s="22"/>
      <c r="C821" s="22"/>
      <c r="D821" s="22"/>
      <c r="E821" s="921"/>
      <c r="F821" s="921"/>
      <c r="G821" s="925"/>
      <c r="H821" s="1793" t="s">
        <v>67</v>
      </c>
      <c r="I821" s="331"/>
      <c r="J821" s="331"/>
      <c r="K821" s="169">
        <v>2024</v>
      </c>
      <c r="L821" s="1446">
        <v>243010</v>
      </c>
      <c r="M821" s="1446"/>
      <c r="N821" s="170" t="s">
        <v>165</v>
      </c>
      <c r="O821" s="178" t="s">
        <v>6640</v>
      </c>
      <c r="P821" s="172" t="s">
        <v>46</v>
      </c>
      <c r="Q821" s="173" t="s">
        <v>6707</v>
      </c>
      <c r="R821" s="173" t="s">
        <v>1975</v>
      </c>
      <c r="S821" s="586">
        <f>(528.05+663.38+987.2+694.03+809.34+156.07)*1.16</f>
        <v>4452.1611999999996</v>
      </c>
      <c r="T821" s="175">
        <v>45474</v>
      </c>
      <c r="U821" s="176">
        <v>45488</v>
      </c>
      <c r="V821" s="177">
        <v>45545</v>
      </c>
      <c r="W821" s="667"/>
      <c r="X821" s="178" t="s">
        <v>6698</v>
      </c>
      <c r="Y821" s="170" t="s">
        <v>69</v>
      </c>
      <c r="Z821" s="1771" t="s">
        <v>67</v>
      </c>
      <c r="AA821" s="1772" t="s">
        <v>67</v>
      </c>
      <c r="AB821" s="256"/>
      <c r="AC821" s="8"/>
      <c r="AD821" s="4"/>
      <c r="AE821" s="4"/>
      <c r="AF821" s="32"/>
      <c r="AG821" s="1773" t="s">
        <v>67</v>
      </c>
      <c r="AH821" s="1774" t="s">
        <v>67</v>
      </c>
      <c r="AI821" s="1774" t="s">
        <v>67</v>
      </c>
      <c r="AJ821" s="1775" t="s">
        <v>67</v>
      </c>
      <c r="AK821" s="1776" t="s">
        <v>67</v>
      </c>
      <c r="AL821" s="1777" t="s">
        <v>67</v>
      </c>
      <c r="AM821" s="1680" t="s">
        <v>67</v>
      </c>
      <c r="AN821" s="1704"/>
      <c r="AO821" s="1680" t="s">
        <v>67</v>
      </c>
      <c r="AP821" s="1704"/>
      <c r="AQ821" s="1680" t="s">
        <v>67</v>
      </c>
      <c r="AR821" s="1704"/>
      <c r="AS821" s="1778"/>
      <c r="AT821" s="1779">
        <v>0</v>
      </c>
      <c r="AU821" s="1780">
        <v>0</v>
      </c>
      <c r="AV821" s="1781">
        <v>0</v>
      </c>
      <c r="AW821" s="1782" t="s">
        <v>67</v>
      </c>
      <c r="AX821" s="1701" t="s">
        <v>67</v>
      </c>
      <c r="AY821" s="1702" t="s">
        <v>67</v>
      </c>
      <c r="AZ821" s="1703" t="s">
        <v>67</v>
      </c>
      <c r="BA821" s="231"/>
      <c r="BB821" s="5"/>
      <c r="BC821" s="5"/>
      <c r="BD821" s="11"/>
      <c r="BE821" s="231"/>
      <c r="BF821" s="509"/>
      <c r="BG821" s="5"/>
      <c r="BH821" s="5"/>
      <c r="BI821" s="5"/>
      <c r="BJ821" s="64"/>
      <c r="BK821" s="1784" t="s">
        <v>67</v>
      </c>
      <c r="BL821" s="1139"/>
      <c r="BM821" s="1785" t="s">
        <v>67</v>
      </c>
      <c r="BN821" s="1786" t="s">
        <v>67</v>
      </c>
      <c r="BO821" s="1786" t="s">
        <v>67</v>
      </c>
      <c r="BP821" s="1787" t="s">
        <v>67</v>
      </c>
      <c r="BQ821" s="1787" t="s">
        <v>67</v>
      </c>
      <c r="BR821" s="1787" t="s">
        <v>67</v>
      </c>
      <c r="BS821" s="1787" t="s">
        <v>67</v>
      </c>
      <c r="BT821" s="1787" t="s">
        <v>67</v>
      </c>
      <c r="BU821" s="1787" t="s">
        <v>67</v>
      </c>
      <c r="BV821" s="1787" t="s">
        <v>67</v>
      </c>
      <c r="BW821" s="1785" t="s">
        <v>67</v>
      </c>
      <c r="BX821" s="13"/>
      <c r="BY821" s="22"/>
      <c r="BZ821" s="22"/>
      <c r="CA821" s="22"/>
      <c r="CB821" s="22"/>
      <c r="CC821" s="22"/>
      <c r="CD821" s="22"/>
      <c r="CE821" s="1246" t="s">
        <v>3947</v>
      </c>
      <c r="CF821" s="866" t="s">
        <v>6708</v>
      </c>
    </row>
    <row r="822" spans="1:84" ht="181.5" hidden="1" customHeight="1">
      <c r="A822" s="1467"/>
      <c r="B822" s="22"/>
      <c r="C822" s="22"/>
      <c r="D822" s="22"/>
      <c r="E822" s="921"/>
      <c r="F822" s="921"/>
      <c r="G822" s="925"/>
      <c r="H822" s="1793" t="s">
        <v>67</v>
      </c>
      <c r="I822" s="331"/>
      <c r="J822" s="331"/>
      <c r="K822" s="169">
        <v>2024</v>
      </c>
      <c r="L822" s="1446">
        <v>243010</v>
      </c>
      <c r="M822" s="1446"/>
      <c r="N822" s="170" t="s">
        <v>165</v>
      </c>
      <c r="O822" s="178" t="s">
        <v>6641</v>
      </c>
      <c r="P822" s="172" t="s">
        <v>46</v>
      </c>
      <c r="Q822" s="173" t="s">
        <v>6707</v>
      </c>
      <c r="R822" s="173" t="s">
        <v>1975</v>
      </c>
      <c r="S822" s="586">
        <f>(528.05+663.38+987.2+694.03+809.34+156.07)*1.16</f>
        <v>4452.1611999999996</v>
      </c>
      <c r="T822" s="175">
        <v>45474</v>
      </c>
      <c r="U822" s="176">
        <v>45488</v>
      </c>
      <c r="V822" s="177">
        <v>45545</v>
      </c>
      <c r="W822" s="667"/>
      <c r="X822" s="178" t="s">
        <v>6698</v>
      </c>
      <c r="Y822" s="170" t="s">
        <v>69</v>
      </c>
      <c r="Z822" s="1771" t="s">
        <v>67</v>
      </c>
      <c r="AA822" s="1772" t="s">
        <v>67</v>
      </c>
      <c r="AB822" s="256"/>
      <c r="AC822" s="8"/>
      <c r="AD822" s="4"/>
      <c r="AE822" s="4"/>
      <c r="AF822" s="32"/>
      <c r="AG822" s="1773" t="s">
        <v>67</v>
      </c>
      <c r="AH822" s="1774" t="s">
        <v>67</v>
      </c>
      <c r="AI822" s="1774" t="s">
        <v>67</v>
      </c>
      <c r="AJ822" s="1775" t="s">
        <v>67</v>
      </c>
      <c r="AK822" s="1776" t="s">
        <v>67</v>
      </c>
      <c r="AL822" s="1777" t="s">
        <v>67</v>
      </c>
      <c r="AM822" s="1680" t="s">
        <v>67</v>
      </c>
      <c r="AN822" s="1704"/>
      <c r="AO822" s="1680" t="s">
        <v>67</v>
      </c>
      <c r="AP822" s="1704"/>
      <c r="AQ822" s="1680" t="s">
        <v>67</v>
      </c>
      <c r="AR822" s="1704"/>
      <c r="AS822" s="1778"/>
      <c r="AT822" s="1779">
        <v>0</v>
      </c>
      <c r="AU822" s="1780">
        <v>0</v>
      </c>
      <c r="AV822" s="1781">
        <v>0</v>
      </c>
      <c r="AW822" s="1782" t="s">
        <v>67</v>
      </c>
      <c r="AX822" s="1701" t="s">
        <v>67</v>
      </c>
      <c r="AY822" s="1702" t="s">
        <v>67</v>
      </c>
      <c r="AZ822" s="1703" t="s">
        <v>67</v>
      </c>
      <c r="BA822" s="231"/>
      <c r="BB822" s="5"/>
      <c r="BC822" s="5"/>
      <c r="BD822" s="11"/>
      <c r="BE822" s="231"/>
      <c r="BF822" s="509"/>
      <c r="BG822" s="5"/>
      <c r="BH822" s="5"/>
      <c r="BI822" s="5"/>
      <c r="BJ822" s="64"/>
      <c r="BK822" s="1784" t="s">
        <v>67</v>
      </c>
      <c r="BL822" s="1139"/>
      <c r="BM822" s="1785" t="s">
        <v>67</v>
      </c>
      <c r="BN822" s="1786" t="s">
        <v>67</v>
      </c>
      <c r="BO822" s="1786" t="s">
        <v>67</v>
      </c>
      <c r="BP822" s="1787" t="s">
        <v>67</v>
      </c>
      <c r="BQ822" s="1787" t="s">
        <v>67</v>
      </c>
      <c r="BR822" s="1787" t="s">
        <v>67</v>
      </c>
      <c r="BS822" s="1787" t="s">
        <v>67</v>
      </c>
      <c r="BT822" s="1787" t="s">
        <v>67</v>
      </c>
      <c r="BU822" s="1787" t="s">
        <v>67</v>
      </c>
      <c r="BV822" s="1787" t="s">
        <v>67</v>
      </c>
      <c r="BW822" s="1785" t="s">
        <v>67</v>
      </c>
      <c r="BX822" s="13"/>
      <c r="BY822" s="22"/>
      <c r="BZ822" s="22"/>
      <c r="CA822" s="22"/>
      <c r="CB822" s="22"/>
      <c r="CC822" s="22"/>
      <c r="CD822" s="22"/>
      <c r="CE822" s="1246" t="s">
        <v>3947</v>
      </c>
      <c r="CF822" s="866" t="s">
        <v>6708</v>
      </c>
    </row>
    <row r="823" spans="1:84" ht="102" hidden="1" customHeight="1">
      <c r="A823" s="1467"/>
      <c r="B823" s="22"/>
      <c r="C823" s="22"/>
      <c r="D823" s="22"/>
      <c r="E823" s="921"/>
      <c r="F823" s="921"/>
      <c r="G823" s="925"/>
      <c r="H823" s="1793" t="s">
        <v>67</v>
      </c>
      <c r="I823" s="331"/>
      <c r="J823" s="331"/>
      <c r="K823" s="169">
        <v>2024</v>
      </c>
      <c r="L823" s="1446">
        <v>243010</v>
      </c>
      <c r="M823" s="1446"/>
      <c r="N823" s="170" t="s">
        <v>165</v>
      </c>
      <c r="O823" s="178" t="s">
        <v>6642</v>
      </c>
      <c r="P823" s="172" t="s">
        <v>46</v>
      </c>
      <c r="Q823" s="173" t="s">
        <v>6709</v>
      </c>
      <c r="R823" s="173" t="s">
        <v>1975</v>
      </c>
      <c r="S823" s="586">
        <f>1900*1.16</f>
        <v>2204</v>
      </c>
      <c r="T823" s="175">
        <v>45541</v>
      </c>
      <c r="U823" s="176">
        <v>45544</v>
      </c>
      <c r="V823" s="177">
        <v>45548</v>
      </c>
      <c r="W823" s="667"/>
      <c r="X823" s="178" t="s">
        <v>738</v>
      </c>
      <c r="Y823" s="170" t="s">
        <v>69</v>
      </c>
      <c r="Z823" s="1771" t="s">
        <v>67</v>
      </c>
      <c r="AA823" s="1772" t="s">
        <v>67</v>
      </c>
      <c r="AB823" s="256"/>
      <c r="AC823" s="8"/>
      <c r="AD823" s="4"/>
      <c r="AE823" s="4"/>
      <c r="AF823" s="32"/>
      <c r="AG823" s="1773" t="s">
        <v>67</v>
      </c>
      <c r="AH823" s="1774" t="s">
        <v>67</v>
      </c>
      <c r="AI823" s="1774" t="s">
        <v>67</v>
      </c>
      <c r="AJ823" s="1775" t="s">
        <v>67</v>
      </c>
      <c r="AK823" s="1776" t="s">
        <v>67</v>
      </c>
      <c r="AL823" s="1777" t="s">
        <v>67</v>
      </c>
      <c r="AM823" s="1680" t="s">
        <v>67</v>
      </c>
      <c r="AN823" s="1704"/>
      <c r="AO823" s="1680" t="s">
        <v>67</v>
      </c>
      <c r="AP823" s="1704"/>
      <c r="AQ823" s="1680" t="s">
        <v>67</v>
      </c>
      <c r="AR823" s="1704"/>
      <c r="AS823" s="1778"/>
      <c r="AT823" s="1779">
        <v>0</v>
      </c>
      <c r="AU823" s="1780">
        <v>0</v>
      </c>
      <c r="AV823" s="1781">
        <v>0</v>
      </c>
      <c r="AW823" s="1782" t="s">
        <v>67</v>
      </c>
      <c r="AX823" s="1701" t="s">
        <v>67</v>
      </c>
      <c r="AY823" s="1702" t="s">
        <v>67</v>
      </c>
      <c r="AZ823" s="1703" t="s">
        <v>67</v>
      </c>
      <c r="BA823" s="231"/>
      <c r="BB823" s="5"/>
      <c r="BC823" s="5"/>
      <c r="BD823" s="11"/>
      <c r="BE823" s="231"/>
      <c r="BF823" s="509"/>
      <c r="BG823" s="5"/>
      <c r="BH823" s="5"/>
      <c r="BI823" s="5"/>
      <c r="BJ823" s="64"/>
      <c r="BK823" s="1784" t="s">
        <v>67</v>
      </c>
      <c r="BL823" s="1139"/>
      <c r="BM823" s="1785" t="s">
        <v>67</v>
      </c>
      <c r="BN823" s="1786" t="s">
        <v>67</v>
      </c>
      <c r="BO823" s="1786" t="s">
        <v>67</v>
      </c>
      <c r="BP823" s="1787" t="s">
        <v>67</v>
      </c>
      <c r="BQ823" s="1787" t="s">
        <v>67</v>
      </c>
      <c r="BR823" s="1787" t="s">
        <v>67</v>
      </c>
      <c r="BS823" s="1787" t="s">
        <v>67</v>
      </c>
      <c r="BT823" s="1787" t="s">
        <v>67</v>
      </c>
      <c r="BU823" s="1787" t="s">
        <v>67</v>
      </c>
      <c r="BV823" s="1787" t="s">
        <v>67</v>
      </c>
      <c r="BW823" s="1785" t="s">
        <v>67</v>
      </c>
      <c r="BX823" s="13"/>
      <c r="BY823" s="22"/>
      <c r="BZ823" s="22"/>
      <c r="CA823" s="22"/>
      <c r="CB823" s="22"/>
      <c r="CC823" s="22"/>
      <c r="CD823" s="22"/>
      <c r="CE823" s="1246" t="s">
        <v>3947</v>
      </c>
      <c r="CF823" s="866" t="s">
        <v>6710</v>
      </c>
    </row>
    <row r="824" spans="1:84" ht="102.75" hidden="1" customHeight="1">
      <c r="A824" s="1467"/>
      <c r="B824" s="814"/>
      <c r="C824" s="22"/>
      <c r="D824" s="22"/>
      <c r="E824" s="921"/>
      <c r="F824" s="921"/>
      <c r="G824" s="925">
        <v>45623</v>
      </c>
      <c r="H824" s="1793" t="s">
        <v>6333</v>
      </c>
      <c r="I824" s="331"/>
      <c r="J824" s="331"/>
      <c r="K824" s="169">
        <v>2024</v>
      </c>
      <c r="L824" s="1446">
        <v>244001</v>
      </c>
      <c r="M824" s="1446"/>
      <c r="N824" s="1759" t="s">
        <v>6163</v>
      </c>
      <c r="O824" s="178" t="s">
        <v>6010</v>
      </c>
      <c r="P824" s="172" t="s">
        <v>4035</v>
      </c>
      <c r="Q824" s="173" t="s">
        <v>6164</v>
      </c>
      <c r="R824" s="173" t="s">
        <v>1975</v>
      </c>
      <c r="S824" s="586">
        <v>89910</v>
      </c>
      <c r="T824" s="582" t="s">
        <v>67</v>
      </c>
      <c r="U824" s="176">
        <v>45392</v>
      </c>
      <c r="V824" s="177">
        <v>45394</v>
      </c>
      <c r="W824" s="105" t="s">
        <v>67</v>
      </c>
      <c r="X824" s="178" t="s">
        <v>67</v>
      </c>
      <c r="Y824" s="170" t="s">
        <v>1106</v>
      </c>
      <c r="Z824" s="1902" t="s">
        <v>73</v>
      </c>
      <c r="AA824" s="1412"/>
      <c r="AB824" s="33" t="s">
        <v>6400</v>
      </c>
      <c r="AC824" s="8">
        <v>45317</v>
      </c>
      <c r="AD824" s="79">
        <v>89910</v>
      </c>
      <c r="AE824" s="4"/>
      <c r="AF824" s="32"/>
      <c r="AG824" s="1773" t="s">
        <v>67</v>
      </c>
      <c r="AH824" s="1774" t="s">
        <v>67</v>
      </c>
      <c r="AI824" s="1774" t="s">
        <v>67</v>
      </c>
      <c r="AJ824" s="1775" t="s">
        <v>67</v>
      </c>
      <c r="AK824" s="1776" t="s">
        <v>67</v>
      </c>
      <c r="AL824" s="1777" t="s">
        <v>67</v>
      </c>
      <c r="AM824" s="1680" t="s">
        <v>67</v>
      </c>
      <c r="AN824" s="1704"/>
      <c r="AO824" s="1680" t="s">
        <v>67</v>
      </c>
      <c r="AP824" s="1704"/>
      <c r="AQ824" s="1680" t="s">
        <v>67</v>
      </c>
      <c r="AR824" s="1704"/>
      <c r="AS824" s="1778"/>
      <c r="AT824" s="35">
        <v>0</v>
      </c>
      <c r="AU824" s="905">
        <v>89888.77</v>
      </c>
      <c r="AV824" s="901"/>
      <c r="AW824" s="231"/>
      <c r="AX824" s="11"/>
      <c r="AY824" s="224"/>
      <c r="AZ824" s="52"/>
      <c r="BA824" s="30">
        <v>45394</v>
      </c>
      <c r="BB824" s="475">
        <v>45636</v>
      </c>
      <c r="BC824" s="475">
        <v>45638</v>
      </c>
      <c r="BD824" s="11"/>
      <c r="BE824" s="30">
        <v>45394</v>
      </c>
      <c r="BF824" s="202" t="s">
        <v>6010</v>
      </c>
      <c r="BG824" s="5">
        <v>45392</v>
      </c>
      <c r="BH824" s="5">
        <v>45394</v>
      </c>
      <c r="BI824" s="5">
        <v>45393</v>
      </c>
      <c r="BJ824" s="129">
        <f>AT824+AU824</f>
        <v>89888.77</v>
      </c>
      <c r="BK824" s="1784" t="s">
        <v>67</v>
      </c>
      <c r="BL824" s="1139" t="s">
        <v>67</v>
      </c>
      <c r="BM824" s="337">
        <v>45391</v>
      </c>
      <c r="BN824" s="1786" t="s">
        <v>67</v>
      </c>
      <c r="BO824" s="1786" t="s">
        <v>67</v>
      </c>
      <c r="BP824" s="1787" t="s">
        <v>67</v>
      </c>
      <c r="BQ824" s="1787" t="s">
        <v>67</v>
      </c>
      <c r="BR824" s="1787" t="s">
        <v>67</v>
      </c>
      <c r="BS824" s="1787" t="s">
        <v>67</v>
      </c>
      <c r="BT824" s="1787" t="s">
        <v>67</v>
      </c>
      <c r="BU824" s="1787" t="s">
        <v>67</v>
      </c>
      <c r="BV824" s="1787" t="s">
        <v>67</v>
      </c>
      <c r="BW824" s="923"/>
      <c r="BX824" s="13"/>
      <c r="BY824" s="22"/>
      <c r="BZ824" s="22"/>
      <c r="CA824" s="22"/>
      <c r="CB824" s="22"/>
      <c r="CC824" s="22"/>
      <c r="CD824" s="22"/>
      <c r="CE824" s="1246" t="s">
        <v>3947</v>
      </c>
      <c r="CF824" s="866"/>
    </row>
    <row r="825" spans="1:84" ht="75.75" hidden="1" customHeight="1">
      <c r="A825" s="1467"/>
      <c r="B825" s="814"/>
      <c r="C825" s="22"/>
      <c r="D825" s="22"/>
      <c r="E825" s="921"/>
      <c r="F825" s="921"/>
      <c r="G825" s="925">
        <v>45623</v>
      </c>
      <c r="H825" s="1793" t="s">
        <v>6333</v>
      </c>
      <c r="I825" s="331"/>
      <c r="J825" s="2017">
        <v>36425</v>
      </c>
      <c r="K825" s="169">
        <v>2024</v>
      </c>
      <c r="L825" s="1446">
        <v>244002</v>
      </c>
      <c r="M825" s="1446"/>
      <c r="N825" s="170" t="s">
        <v>76</v>
      </c>
      <c r="O825" s="178" t="s">
        <v>6011</v>
      </c>
      <c r="P825" s="172" t="s">
        <v>4035</v>
      </c>
      <c r="Q825" s="173" t="s">
        <v>6559</v>
      </c>
      <c r="R825" s="173" t="s">
        <v>2541</v>
      </c>
      <c r="S825" s="586">
        <v>448614.85</v>
      </c>
      <c r="T825" s="582">
        <v>45414</v>
      </c>
      <c r="U825" s="176">
        <v>45418</v>
      </c>
      <c r="V825" s="177">
        <v>45437</v>
      </c>
      <c r="W825" s="105" t="s">
        <v>67</v>
      </c>
      <c r="X825" s="178" t="s">
        <v>67</v>
      </c>
      <c r="Y825" s="170" t="s">
        <v>69</v>
      </c>
      <c r="Z825" s="1902" t="s">
        <v>73</v>
      </c>
      <c r="AA825" s="1412"/>
      <c r="AB825" s="115" t="s">
        <v>6405</v>
      </c>
      <c r="AC825" s="8">
        <v>45378</v>
      </c>
      <c r="AD825" s="4">
        <v>381311.87</v>
      </c>
      <c r="AE825" s="4"/>
      <c r="AF825" s="32"/>
      <c r="AG825" s="1773" t="s">
        <v>67</v>
      </c>
      <c r="AH825" s="1774" t="s">
        <v>67</v>
      </c>
      <c r="AI825" s="1774" t="s">
        <v>67</v>
      </c>
      <c r="AJ825" s="1775" t="s">
        <v>67</v>
      </c>
      <c r="AK825" s="1776" t="s">
        <v>67</v>
      </c>
      <c r="AL825" s="1777" t="s">
        <v>67</v>
      </c>
      <c r="AM825" s="1680" t="s">
        <v>67</v>
      </c>
      <c r="AN825" s="1704"/>
      <c r="AO825" s="1680" t="s">
        <v>67</v>
      </c>
      <c r="AP825" s="1704"/>
      <c r="AQ825" s="1680" t="s">
        <v>67</v>
      </c>
      <c r="AR825" s="1704"/>
      <c r="AS825" s="1778"/>
      <c r="AT825" s="35">
        <v>78455.19</v>
      </c>
      <c r="AU825" s="905">
        <v>225669.86</v>
      </c>
      <c r="AV825" s="901"/>
      <c r="AW825" s="30">
        <v>45418</v>
      </c>
      <c r="AX825" s="11">
        <v>45430</v>
      </c>
      <c r="AY825" s="224"/>
      <c r="AZ825" s="52"/>
      <c r="BA825" s="70">
        <v>45432</v>
      </c>
      <c r="BB825" s="71">
        <v>45418</v>
      </c>
      <c r="BC825" s="71">
        <v>45437</v>
      </c>
      <c r="BD825" s="127">
        <v>45430</v>
      </c>
      <c r="BE825" s="70">
        <v>45432</v>
      </c>
      <c r="BF825" s="1662" t="s">
        <v>6011</v>
      </c>
      <c r="BG825" s="71">
        <v>45418</v>
      </c>
      <c r="BH825" s="71">
        <v>45437</v>
      </c>
      <c r="BI825" s="71">
        <v>45430</v>
      </c>
      <c r="BJ825" s="129">
        <f>AT825+AU825</f>
        <v>304125.05</v>
      </c>
      <c r="BK825" s="1784" t="s">
        <v>67</v>
      </c>
      <c r="BL825" s="1139" t="s">
        <v>67</v>
      </c>
      <c r="BM825" s="337">
        <v>45414</v>
      </c>
      <c r="BN825" s="1786" t="s">
        <v>67</v>
      </c>
      <c r="BO825" s="1786" t="s">
        <v>67</v>
      </c>
      <c r="BP825" s="1787" t="s">
        <v>67</v>
      </c>
      <c r="BQ825" s="1787" t="s">
        <v>67</v>
      </c>
      <c r="BR825" s="1787" t="s">
        <v>67</v>
      </c>
      <c r="BS825" s="1787" t="s">
        <v>67</v>
      </c>
      <c r="BT825" s="1787" t="s">
        <v>67</v>
      </c>
      <c r="BU825" s="1787" t="s">
        <v>67</v>
      </c>
      <c r="BV825" s="1787" t="s">
        <v>67</v>
      </c>
      <c r="BW825" s="1785"/>
      <c r="BX825" s="13"/>
      <c r="BY825" s="22"/>
      <c r="BZ825" s="22"/>
      <c r="CA825" s="22"/>
      <c r="CB825" s="22"/>
      <c r="CC825" s="22"/>
      <c r="CD825" s="22"/>
      <c r="CE825" s="1246" t="s">
        <v>3947</v>
      </c>
      <c r="CF825" s="866"/>
    </row>
    <row r="826" spans="1:84" ht="65.25" hidden="1" customHeight="1">
      <c r="A826" s="1467"/>
      <c r="B826" s="814"/>
      <c r="C826" s="22"/>
      <c r="D826" s="22"/>
      <c r="E826" s="921"/>
      <c r="F826" s="921"/>
      <c r="G826" s="925">
        <v>45623</v>
      </c>
      <c r="H826" s="1793" t="s">
        <v>1404</v>
      </c>
      <c r="I826" s="331"/>
      <c r="J826" s="331"/>
      <c r="K826" s="169">
        <v>2024</v>
      </c>
      <c r="L826" s="1446">
        <v>244003</v>
      </c>
      <c r="M826" s="1446"/>
      <c r="N826" s="170" t="s">
        <v>165</v>
      </c>
      <c r="O826" s="178" t="s">
        <v>6012</v>
      </c>
      <c r="P826" s="172" t="s">
        <v>4035</v>
      </c>
      <c r="Q826" s="173" t="s">
        <v>6560</v>
      </c>
      <c r="R826" s="173" t="s">
        <v>4827</v>
      </c>
      <c r="S826" s="586">
        <v>831839.5</v>
      </c>
      <c r="T826" s="582">
        <v>45432</v>
      </c>
      <c r="U826" s="176">
        <v>45434</v>
      </c>
      <c r="V826" s="177">
        <v>45478</v>
      </c>
      <c r="W826" s="105" t="s">
        <v>67</v>
      </c>
      <c r="X826" s="178" t="s">
        <v>67</v>
      </c>
      <c r="Y826" s="170" t="s">
        <v>69</v>
      </c>
      <c r="Z826" s="1698" t="s">
        <v>67</v>
      </c>
      <c r="AA826" s="369" t="s">
        <v>67</v>
      </c>
      <c r="AB826" s="338" t="s">
        <v>73</v>
      </c>
      <c r="AC826" s="8"/>
      <c r="AD826" s="4"/>
      <c r="AE826" s="4"/>
      <c r="AF826" s="32"/>
      <c r="AG826" s="1773" t="s">
        <v>67</v>
      </c>
      <c r="AH826" s="1774" t="s">
        <v>67</v>
      </c>
      <c r="AI826" s="1774" t="s">
        <v>67</v>
      </c>
      <c r="AJ826" s="1775" t="s">
        <v>67</v>
      </c>
      <c r="AK826" s="1776" t="s">
        <v>67</v>
      </c>
      <c r="AL826" s="1777" t="s">
        <v>67</v>
      </c>
      <c r="AM826" s="1680" t="s">
        <v>67</v>
      </c>
      <c r="AN826" s="1704"/>
      <c r="AO826" s="1680" t="s">
        <v>67</v>
      </c>
      <c r="AP826" s="1704"/>
      <c r="AQ826" s="1680" t="s">
        <v>67</v>
      </c>
      <c r="AR826" s="1704"/>
      <c r="AS826" s="1778"/>
      <c r="AT826" s="35">
        <v>205389.94</v>
      </c>
      <c r="AU826" s="905">
        <v>606731.53</v>
      </c>
      <c r="AV826" s="901"/>
      <c r="AW826" s="231"/>
      <c r="AX826" s="11"/>
      <c r="AY826" s="224"/>
      <c r="AZ826" s="52"/>
      <c r="BA826" s="70">
        <v>45497</v>
      </c>
      <c r="BB826" s="71">
        <v>45434</v>
      </c>
      <c r="BC826" s="71">
        <v>45478</v>
      </c>
      <c r="BD826" s="127">
        <v>45496</v>
      </c>
      <c r="BE826" s="70">
        <v>45497</v>
      </c>
      <c r="BF826" s="1662" t="s">
        <v>6012</v>
      </c>
      <c r="BG826" s="71">
        <v>45434</v>
      </c>
      <c r="BH826" s="71">
        <v>45478</v>
      </c>
      <c r="BI826" s="71">
        <v>45496</v>
      </c>
      <c r="BJ826" s="129">
        <f>AT826+AU826</f>
        <v>812121.47</v>
      </c>
      <c r="BK826" s="1784" t="s">
        <v>67</v>
      </c>
      <c r="BL826" s="1139" t="s">
        <v>67</v>
      </c>
      <c r="BM826" s="337">
        <v>45432</v>
      </c>
      <c r="BN826" s="1786" t="s">
        <v>67</v>
      </c>
      <c r="BO826" s="1786" t="s">
        <v>67</v>
      </c>
      <c r="BP826" s="1787" t="s">
        <v>67</v>
      </c>
      <c r="BQ826" s="1787" t="s">
        <v>67</v>
      </c>
      <c r="BR826" s="1787" t="s">
        <v>67</v>
      </c>
      <c r="BS826" s="1787" t="s">
        <v>67</v>
      </c>
      <c r="BT826" s="1787" t="s">
        <v>67</v>
      </c>
      <c r="BU826" s="1787" t="s">
        <v>67</v>
      </c>
      <c r="BV826" s="1787" t="s">
        <v>67</v>
      </c>
      <c r="BW826" s="923"/>
      <c r="BX826" s="13"/>
      <c r="BY826" s="22"/>
      <c r="BZ826" s="22"/>
      <c r="CA826" s="22"/>
      <c r="CB826" s="22"/>
      <c r="CC826" s="22"/>
      <c r="CD826" s="22"/>
      <c r="CE826" s="1246" t="s">
        <v>3947</v>
      </c>
      <c r="CF826" s="866"/>
    </row>
    <row r="827" spans="1:84" ht="88.5" hidden="1" customHeight="1">
      <c r="A827" s="1467"/>
      <c r="B827" s="814"/>
      <c r="C827" s="22"/>
      <c r="D827" s="22"/>
      <c r="E827" s="921"/>
      <c r="F827" s="921"/>
      <c r="G827" s="925">
        <v>45596</v>
      </c>
      <c r="H827" s="1793" t="s">
        <v>6333</v>
      </c>
      <c r="I827" s="331"/>
      <c r="J827" s="2017">
        <v>180740</v>
      </c>
      <c r="K827" s="169">
        <v>2024</v>
      </c>
      <c r="L827" s="1446">
        <v>244004</v>
      </c>
      <c r="M827" s="1446"/>
      <c r="N827" s="170" t="s">
        <v>76</v>
      </c>
      <c r="O827" s="178" t="s">
        <v>6013</v>
      </c>
      <c r="P827" s="172" t="s">
        <v>4035</v>
      </c>
      <c r="Q827" s="2019" t="s">
        <v>6561</v>
      </c>
      <c r="R827" s="173" t="s">
        <v>1975</v>
      </c>
      <c r="S827" s="2018">
        <v>1572787.58</v>
      </c>
      <c r="T827" s="582">
        <v>45474</v>
      </c>
      <c r="U827" s="176">
        <v>45488</v>
      </c>
      <c r="V827" s="177">
        <v>45545</v>
      </c>
      <c r="W827" s="105" t="s">
        <v>67</v>
      </c>
      <c r="X827" s="178" t="s">
        <v>67</v>
      </c>
      <c r="Y827" s="170" t="s">
        <v>69</v>
      </c>
      <c r="Z827" s="1698">
        <v>45415</v>
      </c>
      <c r="AA827" s="1412"/>
      <c r="AB827" s="115" t="s">
        <v>6401</v>
      </c>
      <c r="AC827" s="74">
        <v>45375</v>
      </c>
      <c r="AD827" s="75">
        <v>1600000</v>
      </c>
      <c r="AE827" s="4"/>
      <c r="AF827" s="32"/>
      <c r="AG827" s="1773" t="s">
        <v>67</v>
      </c>
      <c r="AH827" s="1774" t="s">
        <v>67</v>
      </c>
      <c r="AI827" s="1774" t="s">
        <v>67</v>
      </c>
      <c r="AJ827" s="1775" t="s">
        <v>67</v>
      </c>
      <c r="AK827" s="1776" t="s">
        <v>67</v>
      </c>
      <c r="AL827" s="1777" t="s">
        <v>67</v>
      </c>
      <c r="AM827" s="1680" t="s">
        <v>67</v>
      </c>
      <c r="AN827" s="1704"/>
      <c r="AO827" s="1680" t="s">
        <v>67</v>
      </c>
      <c r="AP827" s="1704"/>
      <c r="AQ827" s="1680" t="s">
        <v>67</v>
      </c>
      <c r="AR827" s="1704"/>
      <c r="AS827" s="1778"/>
      <c r="AT827" s="665"/>
      <c r="AU827" s="912"/>
      <c r="AV827" s="901"/>
      <c r="AW827" s="231"/>
      <c r="AX827" s="11"/>
      <c r="AY827" s="224"/>
      <c r="AZ827" s="52"/>
      <c r="BA827" s="231"/>
      <c r="BB827" s="5"/>
      <c r="BC827" s="5"/>
      <c r="BD827" s="11"/>
      <c r="BE827" s="231"/>
      <c r="BF827" s="538"/>
      <c r="BG827" s="5"/>
      <c r="BH827" s="5"/>
      <c r="BI827" s="5"/>
      <c r="BJ827" s="246">
        <f>AT827+AU827</f>
        <v>0</v>
      </c>
      <c r="BK827" s="1784" t="s">
        <v>67</v>
      </c>
      <c r="BL827" s="1139" t="s">
        <v>67</v>
      </c>
      <c r="BM827" s="1418"/>
      <c r="BN827" s="1786" t="s">
        <v>67</v>
      </c>
      <c r="BO827" s="1786" t="s">
        <v>67</v>
      </c>
      <c r="BP827" s="1787" t="s">
        <v>67</v>
      </c>
      <c r="BQ827" s="1787" t="s">
        <v>67</v>
      </c>
      <c r="BR827" s="1787" t="s">
        <v>67</v>
      </c>
      <c r="BS827" s="1787" t="s">
        <v>67</v>
      </c>
      <c r="BT827" s="1787" t="s">
        <v>67</v>
      </c>
      <c r="BU827" s="1787" t="s">
        <v>67</v>
      </c>
      <c r="BV827" s="1787" t="s">
        <v>67</v>
      </c>
      <c r="BW827" s="1785"/>
      <c r="BX827" s="13"/>
      <c r="BY827" s="22"/>
      <c r="BZ827" s="22"/>
      <c r="CA827" s="22"/>
      <c r="CB827" s="22"/>
      <c r="CC827" s="22"/>
      <c r="CD827" s="22"/>
      <c r="CE827" s="1246" t="s">
        <v>3947</v>
      </c>
      <c r="CF827" s="866" t="s">
        <v>6915</v>
      </c>
    </row>
    <row r="828" spans="1:84" ht="76.5" hidden="1" customHeight="1">
      <c r="A828" s="1467"/>
      <c r="B828" s="814"/>
      <c r="C828" s="22"/>
      <c r="D828" s="22"/>
      <c r="E828" s="921"/>
      <c r="F828" s="921"/>
      <c r="G828" s="925">
        <v>45596</v>
      </c>
      <c r="H828" s="1793" t="s">
        <v>1404</v>
      </c>
      <c r="I828" s="331"/>
      <c r="J828" s="331"/>
      <c r="K828" s="169">
        <v>2024</v>
      </c>
      <c r="L828" s="1446">
        <v>244005</v>
      </c>
      <c r="M828" s="1446"/>
      <c r="N828" s="170" t="s">
        <v>165</v>
      </c>
      <c r="O828" s="178" t="s">
        <v>6014</v>
      </c>
      <c r="P828" s="172" t="s">
        <v>4035</v>
      </c>
      <c r="Q828" s="173" t="s">
        <v>6561</v>
      </c>
      <c r="R828" s="173" t="s">
        <v>1975</v>
      </c>
      <c r="S828" s="586">
        <v>600000</v>
      </c>
      <c r="T828" s="175">
        <v>45492</v>
      </c>
      <c r="U828" s="176">
        <v>45496</v>
      </c>
      <c r="V828" s="177">
        <v>45549</v>
      </c>
      <c r="W828" s="105" t="s">
        <v>67</v>
      </c>
      <c r="X828" s="178" t="s">
        <v>67</v>
      </c>
      <c r="Y828" s="170" t="s">
        <v>6460</v>
      </c>
      <c r="Z828" s="1698" t="s">
        <v>67</v>
      </c>
      <c r="AA828" s="369" t="s">
        <v>67</v>
      </c>
      <c r="AB828" s="115" t="s">
        <v>6401</v>
      </c>
      <c r="AC828" s="74">
        <v>45375</v>
      </c>
      <c r="AD828" s="75">
        <v>1600000</v>
      </c>
      <c r="AE828" s="4"/>
      <c r="AF828" s="32"/>
      <c r="AG828" s="1773" t="s">
        <v>67</v>
      </c>
      <c r="AH828" s="1774" t="s">
        <v>67</v>
      </c>
      <c r="AI828" s="1774" t="s">
        <v>67</v>
      </c>
      <c r="AJ828" s="1775" t="s">
        <v>67</v>
      </c>
      <c r="AK828" s="1776" t="s">
        <v>67</v>
      </c>
      <c r="AL828" s="1777" t="s">
        <v>67</v>
      </c>
      <c r="AM828" s="1680" t="s">
        <v>67</v>
      </c>
      <c r="AN828" s="1704"/>
      <c r="AO828" s="1680" t="s">
        <v>67</v>
      </c>
      <c r="AP828" s="1704"/>
      <c r="AQ828" s="1680" t="s">
        <v>67</v>
      </c>
      <c r="AR828" s="1704"/>
      <c r="AS828" s="1778"/>
      <c r="AT828" s="665"/>
      <c r="AU828" s="912"/>
      <c r="AV828" s="901"/>
      <c r="AW828" s="231"/>
      <c r="AX828" s="11"/>
      <c r="AY828" s="224"/>
      <c r="AZ828" s="52"/>
      <c r="BA828" s="231"/>
      <c r="BB828" s="5"/>
      <c r="BC828" s="5"/>
      <c r="BD828" s="11"/>
      <c r="BE828" s="231"/>
      <c r="BF828" s="538"/>
      <c r="BG828" s="5"/>
      <c r="BH828" s="5"/>
      <c r="BI828" s="5"/>
      <c r="BJ828" s="246">
        <f>AT828+AU828</f>
        <v>0</v>
      </c>
      <c r="BK828" s="1784" t="s">
        <v>67</v>
      </c>
      <c r="BL828" s="1139" t="s">
        <v>67</v>
      </c>
      <c r="BM828" s="1418"/>
      <c r="BN828" s="1786" t="s">
        <v>67</v>
      </c>
      <c r="BO828" s="1786" t="s">
        <v>67</v>
      </c>
      <c r="BP828" s="1787" t="s">
        <v>67</v>
      </c>
      <c r="BQ828" s="1787" t="s">
        <v>67</v>
      </c>
      <c r="BR828" s="1787" t="s">
        <v>67</v>
      </c>
      <c r="BS828" s="1787" t="s">
        <v>67</v>
      </c>
      <c r="BT828" s="1787" t="s">
        <v>67</v>
      </c>
      <c r="BU828" s="1787" t="s">
        <v>67</v>
      </c>
      <c r="BV828" s="1787" t="s">
        <v>67</v>
      </c>
      <c r="BW828" s="923"/>
      <c r="BX828" s="13"/>
      <c r="BY828" s="22"/>
      <c r="BZ828" s="22"/>
      <c r="CA828" s="22"/>
      <c r="CB828" s="22"/>
      <c r="CC828" s="22"/>
      <c r="CD828" s="22"/>
      <c r="CE828" s="1246" t="s">
        <v>3947</v>
      </c>
      <c r="CF828" s="866" t="s">
        <v>6915</v>
      </c>
    </row>
    <row r="829" spans="1:84" ht="77.25" hidden="1" customHeight="1">
      <c r="A829" s="1467"/>
      <c r="B829" s="814"/>
      <c r="C829" s="22"/>
      <c r="D829" s="22"/>
      <c r="E829" s="921"/>
      <c r="F829" s="921"/>
      <c r="G829" s="925"/>
      <c r="H829" s="1793" t="s">
        <v>1404</v>
      </c>
      <c r="I829" s="331"/>
      <c r="J829" s="2017">
        <v>405715</v>
      </c>
      <c r="K829" s="169">
        <v>2024</v>
      </c>
      <c r="L829" s="1446">
        <v>244006</v>
      </c>
      <c r="M829" s="1446"/>
      <c r="N829" s="170" t="s">
        <v>76</v>
      </c>
      <c r="O829" s="178" t="s">
        <v>6010</v>
      </c>
      <c r="P829" s="172" t="s">
        <v>4035</v>
      </c>
      <c r="Q829" s="173" t="s">
        <v>6899</v>
      </c>
      <c r="R829" s="173" t="s">
        <v>1975</v>
      </c>
      <c r="S829" s="586">
        <v>1057005.33</v>
      </c>
      <c r="T829" s="175">
        <v>45616</v>
      </c>
      <c r="U829" s="176">
        <v>45617</v>
      </c>
      <c r="V829" s="177">
        <v>45645</v>
      </c>
      <c r="W829" s="105" t="s">
        <v>67</v>
      </c>
      <c r="X829" s="178" t="s">
        <v>67</v>
      </c>
      <c r="Y829" s="170" t="s">
        <v>6900</v>
      </c>
      <c r="Z829" s="675" t="s">
        <v>73</v>
      </c>
      <c r="AA829" s="1400" t="s">
        <v>73</v>
      </c>
      <c r="AB829" s="33" t="s">
        <v>6387</v>
      </c>
      <c r="AC829" s="8">
        <v>45615</v>
      </c>
      <c r="AD829" s="4">
        <v>1057005.33</v>
      </c>
      <c r="AE829" s="4"/>
      <c r="AF829" s="32"/>
      <c r="AG829" s="1773" t="s">
        <v>67</v>
      </c>
      <c r="AH829" s="1774" t="s">
        <v>67</v>
      </c>
      <c r="AI829" s="1774" t="s">
        <v>67</v>
      </c>
      <c r="AJ829" s="1775" t="s">
        <v>67</v>
      </c>
      <c r="AK829" s="1776" t="s">
        <v>67</v>
      </c>
      <c r="AL829" s="1777" t="s">
        <v>67</v>
      </c>
      <c r="AM829" s="1680" t="s">
        <v>67</v>
      </c>
      <c r="AN829" s="1704"/>
      <c r="AO829" s="1680" t="s">
        <v>67</v>
      </c>
      <c r="AP829" s="1704"/>
      <c r="AQ829" s="1680" t="s">
        <v>67</v>
      </c>
      <c r="AR829" s="1704"/>
      <c r="AS829" s="1778"/>
      <c r="AT829" s="665"/>
      <c r="AU829" s="912"/>
      <c r="AV829" s="901"/>
      <c r="AW829" s="231"/>
      <c r="AX829" s="11"/>
      <c r="AY829" s="224"/>
      <c r="AZ829" s="52"/>
      <c r="BA829" s="30">
        <v>45653</v>
      </c>
      <c r="BB829" s="5">
        <v>45617</v>
      </c>
      <c r="BC829" s="5">
        <v>45645</v>
      </c>
      <c r="BD829" s="11">
        <v>45653</v>
      </c>
      <c r="BE829" s="30">
        <v>45653</v>
      </c>
      <c r="BF829" s="202" t="s">
        <v>6010</v>
      </c>
      <c r="BG829" s="5">
        <v>45617</v>
      </c>
      <c r="BH829" s="5">
        <v>45645</v>
      </c>
      <c r="BI829" s="5">
        <v>45653</v>
      </c>
      <c r="BJ829" s="36">
        <v>1057005.33</v>
      </c>
      <c r="BK829" s="1784" t="s">
        <v>67</v>
      </c>
      <c r="BL829" s="1139" t="s">
        <v>67</v>
      </c>
      <c r="BM829" s="337">
        <v>45617</v>
      </c>
      <c r="BN829" s="1786" t="s">
        <v>67</v>
      </c>
      <c r="BO829" s="1786" t="s">
        <v>67</v>
      </c>
      <c r="BP829" s="1787" t="s">
        <v>67</v>
      </c>
      <c r="BQ829" s="1787" t="s">
        <v>67</v>
      </c>
      <c r="BR829" s="1787" t="s">
        <v>67</v>
      </c>
      <c r="BS829" s="1787" t="s">
        <v>67</v>
      </c>
      <c r="BT829" s="1787" t="s">
        <v>67</v>
      </c>
      <c r="BU829" s="1787" t="s">
        <v>67</v>
      </c>
      <c r="BV829" s="1787" t="s">
        <v>67</v>
      </c>
      <c r="BW829" s="1785"/>
      <c r="BX829" s="13"/>
      <c r="BY829" s="22"/>
      <c r="BZ829" s="22"/>
      <c r="CA829" s="22"/>
      <c r="CB829" s="22"/>
      <c r="CC829" s="22"/>
      <c r="CD829" s="22"/>
      <c r="CE829" s="1246" t="s">
        <v>6558</v>
      </c>
      <c r="CF829" s="866"/>
    </row>
    <row r="830" spans="1:84" ht="76.5" hidden="1" customHeight="1">
      <c r="A830" s="1467"/>
      <c r="B830" s="814"/>
      <c r="C830" s="22"/>
      <c r="D830" s="22"/>
      <c r="E830" s="921"/>
      <c r="F830" s="921"/>
      <c r="G830" s="925"/>
      <c r="H830" s="1793" t="s">
        <v>1404</v>
      </c>
      <c r="I830" s="331"/>
      <c r="J830" s="2017">
        <v>409333</v>
      </c>
      <c r="K830" s="169">
        <v>2024</v>
      </c>
      <c r="L830" s="1446">
        <v>244007</v>
      </c>
      <c r="M830" s="1446"/>
      <c r="N830" s="170" t="s">
        <v>76</v>
      </c>
      <c r="O830" s="178" t="s">
        <v>6011</v>
      </c>
      <c r="P830" s="172" t="s">
        <v>4035</v>
      </c>
      <c r="Q830" s="173" t="s">
        <v>6901</v>
      </c>
      <c r="R830" s="173" t="s">
        <v>1975</v>
      </c>
      <c r="S830" s="586">
        <v>722232.67</v>
      </c>
      <c r="T830" s="175">
        <v>45616</v>
      </c>
      <c r="U830" s="176">
        <v>45618</v>
      </c>
      <c r="V830" s="177">
        <v>45645</v>
      </c>
      <c r="W830" s="105" t="s">
        <v>67</v>
      </c>
      <c r="X830" s="178" t="s">
        <v>67</v>
      </c>
      <c r="Y830" s="170" t="s">
        <v>6460</v>
      </c>
      <c r="Z830" s="675" t="s">
        <v>73</v>
      </c>
      <c r="AA830" s="1400" t="s">
        <v>73</v>
      </c>
      <c r="AB830" s="33" t="s">
        <v>6387</v>
      </c>
      <c r="AC830" s="8">
        <v>45615</v>
      </c>
      <c r="AD830" s="4">
        <v>722232.67</v>
      </c>
      <c r="AE830" s="4"/>
      <c r="AF830" s="32"/>
      <c r="AG830" s="1773" t="s">
        <v>67</v>
      </c>
      <c r="AH830" s="1774" t="s">
        <v>67</v>
      </c>
      <c r="AI830" s="1774" t="s">
        <v>67</v>
      </c>
      <c r="AJ830" s="1775" t="s">
        <v>67</v>
      </c>
      <c r="AK830" s="1776" t="s">
        <v>67</v>
      </c>
      <c r="AL830" s="1777" t="s">
        <v>67</v>
      </c>
      <c r="AM830" s="1680" t="s">
        <v>67</v>
      </c>
      <c r="AN830" s="1704"/>
      <c r="AO830" s="1680" t="s">
        <v>67</v>
      </c>
      <c r="AP830" s="1704"/>
      <c r="AQ830" s="1680" t="s">
        <v>67</v>
      </c>
      <c r="AR830" s="1704"/>
      <c r="AS830" s="1778"/>
      <c r="AT830" s="35">
        <v>97437.04</v>
      </c>
      <c r="AU830" s="905">
        <v>624795.49</v>
      </c>
      <c r="AV830" s="901"/>
      <c r="AW830" s="231"/>
      <c r="AX830" s="11"/>
      <c r="AY830" s="224"/>
      <c r="AZ830" s="52"/>
      <c r="BA830" s="30">
        <v>45670</v>
      </c>
      <c r="BB830" s="5">
        <v>45618</v>
      </c>
      <c r="BC830" s="5">
        <v>45645</v>
      </c>
      <c r="BD830" s="11">
        <v>45670</v>
      </c>
      <c r="BE830" s="30">
        <v>45670</v>
      </c>
      <c r="BF830" s="202" t="s">
        <v>6011</v>
      </c>
      <c r="BG830" s="5">
        <v>45618</v>
      </c>
      <c r="BH830" s="5">
        <v>45645</v>
      </c>
      <c r="BI830" s="5">
        <v>45304</v>
      </c>
      <c r="BJ830" s="129">
        <f>AT830+AU830</f>
        <v>722232.53</v>
      </c>
      <c r="BK830" s="1784" t="s">
        <v>67</v>
      </c>
      <c r="BL830" s="1139" t="s">
        <v>67</v>
      </c>
      <c r="BM830" s="337">
        <v>45618</v>
      </c>
      <c r="BN830" s="1786" t="s">
        <v>67</v>
      </c>
      <c r="BO830" s="1786" t="s">
        <v>67</v>
      </c>
      <c r="BP830" s="1787" t="s">
        <v>67</v>
      </c>
      <c r="BQ830" s="1787" t="s">
        <v>67</v>
      </c>
      <c r="BR830" s="1787" t="s">
        <v>67</v>
      </c>
      <c r="BS830" s="1787" t="s">
        <v>67</v>
      </c>
      <c r="BT830" s="1787" t="s">
        <v>67</v>
      </c>
      <c r="BU830" s="1787" t="s">
        <v>67</v>
      </c>
      <c r="BV830" s="1787" t="s">
        <v>67</v>
      </c>
      <c r="BW830" s="1785"/>
      <c r="BX830" s="13"/>
      <c r="BY830" s="22"/>
      <c r="BZ830" s="22"/>
      <c r="CA830" s="22"/>
      <c r="CB830" s="22"/>
      <c r="CC830" s="22"/>
      <c r="CD830" s="22"/>
      <c r="CE830" s="1246" t="s">
        <v>6558</v>
      </c>
      <c r="CF830" s="866"/>
    </row>
    <row r="831" spans="1:84" ht="34.5" hidden="1" customHeight="1">
      <c r="A831" s="1467"/>
      <c r="B831" s="814"/>
      <c r="C831" s="22"/>
      <c r="D831" s="22"/>
      <c r="E831" s="921"/>
      <c r="F831" s="921"/>
      <c r="G831" s="925"/>
      <c r="H831" s="1793" t="s">
        <v>67</v>
      </c>
      <c r="I831" s="331"/>
      <c r="J831" s="331"/>
      <c r="K831" s="169">
        <v>2024</v>
      </c>
      <c r="L831" s="1446">
        <v>244008</v>
      </c>
      <c r="M831" s="1446"/>
      <c r="N831" s="170"/>
      <c r="O831" s="178" t="s">
        <v>6012</v>
      </c>
      <c r="P831" s="172" t="s">
        <v>4035</v>
      </c>
      <c r="Q831" s="1215" t="s">
        <v>67</v>
      </c>
      <c r="R831" s="173" t="s">
        <v>67</v>
      </c>
      <c r="S831" s="1717"/>
      <c r="T831" s="175" t="s">
        <v>67</v>
      </c>
      <c r="U831" s="176"/>
      <c r="V831" s="177"/>
      <c r="W831" s="105" t="s">
        <v>67</v>
      </c>
      <c r="X831" s="178" t="s">
        <v>67</v>
      </c>
      <c r="Y831" s="930"/>
      <c r="Z831" s="1728"/>
      <c r="AA831" s="1412"/>
      <c r="AB831" s="256"/>
      <c r="AC831" s="8"/>
      <c r="AD831" s="4"/>
      <c r="AE831" s="4"/>
      <c r="AF831" s="32"/>
      <c r="AG831" s="1773" t="s">
        <v>67</v>
      </c>
      <c r="AH831" s="1774" t="s">
        <v>67</v>
      </c>
      <c r="AI831" s="1774" t="s">
        <v>67</v>
      </c>
      <c r="AJ831" s="1775" t="s">
        <v>67</v>
      </c>
      <c r="AK831" s="1776" t="s">
        <v>67</v>
      </c>
      <c r="AL831" s="1777" t="s">
        <v>67</v>
      </c>
      <c r="AM831" s="1680" t="s">
        <v>67</v>
      </c>
      <c r="AN831" s="1704"/>
      <c r="AO831" s="1680" t="s">
        <v>67</v>
      </c>
      <c r="AP831" s="1704"/>
      <c r="AQ831" s="1680" t="s">
        <v>67</v>
      </c>
      <c r="AR831" s="1704"/>
      <c r="AS831" s="1778"/>
      <c r="AT831" s="665"/>
      <c r="AU831" s="912"/>
      <c r="AV831" s="901"/>
      <c r="AW831" s="231"/>
      <c r="AX831" s="11"/>
      <c r="AY831" s="224"/>
      <c r="AZ831" s="52"/>
      <c r="BA831" s="231"/>
      <c r="BB831" s="5"/>
      <c r="BC831" s="5"/>
      <c r="BD831" s="11"/>
      <c r="BE831" s="231"/>
      <c r="BF831" s="538"/>
      <c r="BG831" s="5"/>
      <c r="BH831" s="5"/>
      <c r="BI831" s="5"/>
      <c r="BJ831" s="64"/>
      <c r="BK831" s="1784" t="s">
        <v>67</v>
      </c>
      <c r="BL831" s="1139" t="s">
        <v>67</v>
      </c>
      <c r="BM831" s="1418"/>
      <c r="BN831" s="1786" t="s">
        <v>67</v>
      </c>
      <c r="BO831" s="1786" t="s">
        <v>67</v>
      </c>
      <c r="BP831" s="1787" t="s">
        <v>67</v>
      </c>
      <c r="BQ831" s="1787" t="s">
        <v>67</v>
      </c>
      <c r="BR831" s="1787" t="s">
        <v>67</v>
      </c>
      <c r="BS831" s="1787" t="s">
        <v>67</v>
      </c>
      <c r="BT831" s="1787" t="s">
        <v>67</v>
      </c>
      <c r="BU831" s="1787" t="s">
        <v>67</v>
      </c>
      <c r="BV831" s="1787" t="s">
        <v>67</v>
      </c>
      <c r="BW831" s="923"/>
      <c r="BX831" s="13"/>
      <c r="BY831" s="22"/>
      <c r="BZ831" s="22"/>
      <c r="CA831" s="22"/>
      <c r="CB831" s="22"/>
      <c r="CC831" s="22"/>
      <c r="CD831" s="22"/>
      <c r="CE831" s="1246" t="s">
        <v>6558</v>
      </c>
      <c r="CF831" s="866"/>
    </row>
    <row r="832" spans="1:84" ht="34.5" hidden="1" customHeight="1">
      <c r="A832" s="1467"/>
      <c r="B832" s="814"/>
      <c r="C832" s="22"/>
      <c r="D832" s="22"/>
      <c r="E832" s="921"/>
      <c r="F832" s="921"/>
      <c r="G832" s="925"/>
      <c r="H832" s="1793" t="s">
        <v>67</v>
      </c>
      <c r="I832" s="331"/>
      <c r="J832" s="331"/>
      <c r="K832" s="169">
        <v>2024</v>
      </c>
      <c r="L832" s="1446">
        <v>244009</v>
      </c>
      <c r="M832" s="1446"/>
      <c r="N832" s="170"/>
      <c r="O832" s="178" t="s">
        <v>6013</v>
      </c>
      <c r="P832" s="172" t="s">
        <v>4035</v>
      </c>
      <c r="Q832" s="1215" t="s">
        <v>67</v>
      </c>
      <c r="R832" s="173" t="s">
        <v>67</v>
      </c>
      <c r="S832" s="1717"/>
      <c r="T832" s="175" t="s">
        <v>67</v>
      </c>
      <c r="U832" s="176"/>
      <c r="V832" s="177"/>
      <c r="W832" s="105" t="s">
        <v>67</v>
      </c>
      <c r="X832" s="178" t="s">
        <v>67</v>
      </c>
      <c r="Y832" s="930"/>
      <c r="Z832" s="1728"/>
      <c r="AA832" s="1412"/>
      <c r="AB832" s="256"/>
      <c r="AC832" s="8"/>
      <c r="AD832" s="4"/>
      <c r="AE832" s="4"/>
      <c r="AF832" s="32"/>
      <c r="AG832" s="1773" t="s">
        <v>67</v>
      </c>
      <c r="AH832" s="1774" t="s">
        <v>67</v>
      </c>
      <c r="AI832" s="1774" t="s">
        <v>67</v>
      </c>
      <c r="AJ832" s="1775" t="s">
        <v>67</v>
      </c>
      <c r="AK832" s="1776" t="s">
        <v>67</v>
      </c>
      <c r="AL832" s="1777" t="s">
        <v>67</v>
      </c>
      <c r="AM832" s="1680" t="s">
        <v>67</v>
      </c>
      <c r="AN832" s="1704"/>
      <c r="AO832" s="1680" t="s">
        <v>67</v>
      </c>
      <c r="AP832" s="1704"/>
      <c r="AQ832" s="1680" t="s">
        <v>67</v>
      </c>
      <c r="AR832" s="1704"/>
      <c r="AS832" s="1778"/>
      <c r="AT832" s="665"/>
      <c r="AU832" s="912"/>
      <c r="AV832" s="901"/>
      <c r="AW832" s="231"/>
      <c r="AX832" s="11"/>
      <c r="AY832" s="224"/>
      <c r="AZ832" s="52"/>
      <c r="BA832" s="231"/>
      <c r="BB832" s="5"/>
      <c r="BC832" s="5"/>
      <c r="BD832" s="11"/>
      <c r="BE832" s="231"/>
      <c r="BF832" s="538"/>
      <c r="BG832" s="5"/>
      <c r="BH832" s="5"/>
      <c r="BI832" s="5"/>
      <c r="BJ832" s="64"/>
      <c r="BK832" s="1784" t="s">
        <v>67</v>
      </c>
      <c r="BL832" s="1139" t="s">
        <v>67</v>
      </c>
      <c r="BM832" s="1418"/>
      <c r="BN832" s="1786" t="s">
        <v>67</v>
      </c>
      <c r="BO832" s="1786" t="s">
        <v>67</v>
      </c>
      <c r="BP832" s="1787" t="s">
        <v>67</v>
      </c>
      <c r="BQ832" s="1787" t="s">
        <v>67</v>
      </c>
      <c r="BR832" s="1787" t="s">
        <v>67</v>
      </c>
      <c r="BS832" s="1787" t="s">
        <v>67</v>
      </c>
      <c r="BT832" s="1787" t="s">
        <v>67</v>
      </c>
      <c r="BU832" s="1787" t="s">
        <v>67</v>
      </c>
      <c r="BV832" s="1787" t="s">
        <v>67</v>
      </c>
      <c r="BW832" s="923"/>
      <c r="BX832" s="13"/>
      <c r="BY832" s="22"/>
      <c r="BZ832" s="22"/>
      <c r="CA832" s="22"/>
      <c r="CB832" s="22"/>
      <c r="CC832" s="22"/>
      <c r="CD832" s="22"/>
      <c r="CE832" s="1246" t="s">
        <v>6558</v>
      </c>
      <c r="CF832" s="866"/>
    </row>
    <row r="833" spans="1:84" ht="34.5" hidden="1" customHeight="1">
      <c r="A833" s="1467"/>
      <c r="B833" s="814"/>
      <c r="C833" s="22"/>
      <c r="D833" s="22"/>
      <c r="E833" s="921"/>
      <c r="F833" s="921"/>
      <c r="G833" s="925"/>
      <c r="H833" s="1793" t="s">
        <v>67</v>
      </c>
      <c r="I833" s="331"/>
      <c r="J833" s="331"/>
      <c r="K833" s="169">
        <v>2024</v>
      </c>
      <c r="L833" s="1446">
        <v>244010</v>
      </c>
      <c r="M833" s="1446"/>
      <c r="N833" s="170"/>
      <c r="O833" s="178" t="s">
        <v>6014</v>
      </c>
      <c r="P833" s="172" t="s">
        <v>4035</v>
      </c>
      <c r="Q833" s="1215" t="s">
        <v>67</v>
      </c>
      <c r="R833" s="173" t="s">
        <v>67</v>
      </c>
      <c r="S833" s="1717"/>
      <c r="T833" s="175" t="s">
        <v>67</v>
      </c>
      <c r="U833" s="176"/>
      <c r="V833" s="177"/>
      <c r="W833" s="105" t="s">
        <v>67</v>
      </c>
      <c r="X833" s="178" t="s">
        <v>67</v>
      </c>
      <c r="Y833" s="930"/>
      <c r="Z833" s="1728"/>
      <c r="AA833" s="1412"/>
      <c r="AB833" s="256"/>
      <c r="AC833" s="8"/>
      <c r="AD833" s="4"/>
      <c r="AE833" s="4"/>
      <c r="AF833" s="32"/>
      <c r="AG833" s="1773" t="s">
        <v>67</v>
      </c>
      <c r="AH833" s="1774" t="s">
        <v>67</v>
      </c>
      <c r="AI833" s="1774" t="s">
        <v>67</v>
      </c>
      <c r="AJ833" s="1775" t="s">
        <v>67</v>
      </c>
      <c r="AK833" s="1776" t="s">
        <v>67</v>
      </c>
      <c r="AL833" s="1777" t="s">
        <v>67</v>
      </c>
      <c r="AM833" s="1680" t="s">
        <v>67</v>
      </c>
      <c r="AN833" s="1704"/>
      <c r="AO833" s="1680" t="s">
        <v>67</v>
      </c>
      <c r="AP833" s="1704"/>
      <c r="AQ833" s="1680" t="s">
        <v>67</v>
      </c>
      <c r="AR833" s="1704"/>
      <c r="AS833" s="1778"/>
      <c r="AT833" s="665"/>
      <c r="AU833" s="912"/>
      <c r="AV833" s="901"/>
      <c r="AW833" s="231"/>
      <c r="AX833" s="11"/>
      <c r="AY833" s="224"/>
      <c r="AZ833" s="52"/>
      <c r="BA833" s="231"/>
      <c r="BB833" s="5"/>
      <c r="BC833" s="5"/>
      <c r="BD833" s="11"/>
      <c r="BE833" s="231"/>
      <c r="BF833" s="538"/>
      <c r="BG833" s="5"/>
      <c r="BH833" s="5"/>
      <c r="BI833" s="5"/>
      <c r="BJ833" s="64"/>
      <c r="BK833" s="1784" t="s">
        <v>67</v>
      </c>
      <c r="BL833" s="1139" t="s">
        <v>67</v>
      </c>
      <c r="BM833" s="1418"/>
      <c r="BN833" s="1786" t="s">
        <v>67</v>
      </c>
      <c r="BO833" s="1786" t="s">
        <v>67</v>
      </c>
      <c r="BP833" s="1787" t="s">
        <v>67</v>
      </c>
      <c r="BQ833" s="1787" t="s">
        <v>67</v>
      </c>
      <c r="BR833" s="1787" t="s">
        <v>67</v>
      </c>
      <c r="BS833" s="1787" t="s">
        <v>67</v>
      </c>
      <c r="BT833" s="1787" t="s">
        <v>67</v>
      </c>
      <c r="BU833" s="1787" t="s">
        <v>67</v>
      </c>
      <c r="BV833" s="1787" t="s">
        <v>67</v>
      </c>
      <c r="BW833" s="923"/>
      <c r="BX833" s="13"/>
      <c r="BY833" s="22"/>
      <c r="BZ833" s="22"/>
      <c r="CA833" s="22"/>
      <c r="CB833" s="22"/>
      <c r="CC833" s="22"/>
      <c r="CD833" s="22"/>
      <c r="CE833" s="1246" t="s">
        <v>6558</v>
      </c>
      <c r="CF833" s="866"/>
    </row>
    <row r="834" spans="1:84" ht="76.5" hidden="1" customHeight="1">
      <c r="A834" s="1467"/>
      <c r="B834" s="814"/>
      <c r="C834" s="22"/>
      <c r="D834" s="22"/>
      <c r="E834" s="921"/>
      <c r="F834" s="921"/>
      <c r="G834" s="925">
        <v>45616</v>
      </c>
      <c r="H834" s="1793" t="s">
        <v>6333</v>
      </c>
      <c r="I834" s="331">
        <v>45397</v>
      </c>
      <c r="J834" s="331"/>
      <c r="K834" s="169">
        <v>2024</v>
      </c>
      <c r="L834" s="1446">
        <v>245001</v>
      </c>
      <c r="M834" s="1446" t="s">
        <v>6931</v>
      </c>
      <c r="N834" s="170" t="s">
        <v>165</v>
      </c>
      <c r="O834" s="178" t="s">
        <v>6015</v>
      </c>
      <c r="P834" s="172" t="s">
        <v>78</v>
      </c>
      <c r="Q834" s="173" t="s">
        <v>6016</v>
      </c>
      <c r="R834" s="173" t="s">
        <v>4412</v>
      </c>
      <c r="S834" s="586">
        <v>653611.4</v>
      </c>
      <c r="T834" s="582">
        <v>45322</v>
      </c>
      <c r="U834" s="176">
        <v>45331</v>
      </c>
      <c r="V834" s="177">
        <v>45320</v>
      </c>
      <c r="W834" s="105">
        <v>45321</v>
      </c>
      <c r="X834" s="178" t="s">
        <v>6026</v>
      </c>
      <c r="Y834" s="170" t="s">
        <v>69</v>
      </c>
      <c r="Z834" s="1698">
        <v>45320</v>
      </c>
      <c r="AA834" s="369" t="s">
        <v>67</v>
      </c>
      <c r="AB834" s="33" t="s">
        <v>6382</v>
      </c>
      <c r="AC834" s="8">
        <v>45317</v>
      </c>
      <c r="AD834" s="4">
        <v>900000</v>
      </c>
      <c r="AE834" s="4"/>
      <c r="AF834" s="32"/>
      <c r="AG834" s="34" t="s">
        <v>67</v>
      </c>
      <c r="AH834" s="112" t="s">
        <v>67</v>
      </c>
      <c r="AI834" s="112" t="s">
        <v>67</v>
      </c>
      <c r="AJ834" s="7" t="s">
        <v>67</v>
      </c>
      <c r="AK834" s="109" t="s">
        <v>67</v>
      </c>
      <c r="AL834" s="242" t="s">
        <v>1111</v>
      </c>
      <c r="AM834" s="243" t="s">
        <v>6395</v>
      </c>
      <c r="AN834" s="58">
        <v>45322</v>
      </c>
      <c r="AO834" s="243" t="s">
        <v>6395</v>
      </c>
      <c r="AP834" s="58">
        <v>45322</v>
      </c>
      <c r="AQ834" s="243" t="s">
        <v>6396</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6812</v>
      </c>
      <c r="BG834" s="5">
        <v>45331</v>
      </c>
      <c r="BH834" s="5">
        <v>45351</v>
      </c>
      <c r="BI834" s="5">
        <v>45343</v>
      </c>
      <c r="BJ834" s="129">
        <f t="shared" ref="BJ834:BJ863" si="23">AT834+AU834</f>
        <v>666579.04</v>
      </c>
      <c r="BK834" s="68">
        <v>45344</v>
      </c>
      <c r="BL834" s="1999">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3947</v>
      </c>
      <c r="CF834" s="866" t="s">
        <v>6916</v>
      </c>
    </row>
    <row r="835" spans="1:84" ht="87" hidden="1" customHeight="1">
      <c r="A835" s="1467"/>
      <c r="B835" s="814"/>
      <c r="C835" s="22"/>
      <c r="D835" s="22"/>
      <c r="E835" s="921"/>
      <c r="F835" s="921"/>
      <c r="G835" s="925">
        <v>45623</v>
      </c>
      <c r="H835" s="1793" t="s">
        <v>6333</v>
      </c>
      <c r="I835" s="331">
        <v>45397</v>
      </c>
      <c r="J835" s="331"/>
      <c r="K835" s="169">
        <v>2024</v>
      </c>
      <c r="L835" s="1446">
        <v>245002</v>
      </c>
      <c r="M835" s="1446" t="s">
        <v>6931</v>
      </c>
      <c r="N835" s="170" t="s">
        <v>165</v>
      </c>
      <c r="O835" s="178" t="s">
        <v>6019</v>
      </c>
      <c r="P835" s="172" t="s">
        <v>78</v>
      </c>
      <c r="Q835" s="173" t="s">
        <v>6028</v>
      </c>
      <c r="R835" s="173" t="s">
        <v>4412</v>
      </c>
      <c r="S835" s="586">
        <v>388619.27</v>
      </c>
      <c r="T835" s="582">
        <v>45335</v>
      </c>
      <c r="U835" s="176">
        <v>45336</v>
      </c>
      <c r="V835" s="177">
        <v>45351</v>
      </c>
      <c r="W835" s="105">
        <v>45331</v>
      </c>
      <c r="X835" s="178" t="s">
        <v>4450</v>
      </c>
      <c r="Y835" s="170" t="s">
        <v>69</v>
      </c>
      <c r="Z835" s="1698">
        <v>45320</v>
      </c>
      <c r="AA835" s="369" t="s">
        <v>67</v>
      </c>
      <c r="AB835" s="33" t="s">
        <v>6383</v>
      </c>
      <c r="AC835" s="8">
        <v>45331</v>
      </c>
      <c r="AD835" s="4">
        <v>386619.27</v>
      </c>
      <c r="AE835" s="4"/>
      <c r="AF835" s="32"/>
      <c r="AG835" s="34" t="s">
        <v>67</v>
      </c>
      <c r="AH835" s="112" t="s">
        <v>67</v>
      </c>
      <c r="AI835" s="112" t="s">
        <v>67</v>
      </c>
      <c r="AJ835" s="7" t="s">
        <v>67</v>
      </c>
      <c r="AK835" s="109" t="s">
        <v>67</v>
      </c>
      <c r="AL835" s="242" t="s">
        <v>6416</v>
      </c>
      <c r="AM835" s="389" t="s">
        <v>67</v>
      </c>
      <c r="AN835" s="58"/>
      <c r="AO835" s="389" t="s">
        <v>6417</v>
      </c>
      <c r="AP835" s="1612">
        <v>45336</v>
      </c>
      <c r="AQ835" s="389" t="s">
        <v>6418</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6419</v>
      </c>
      <c r="BG835" s="5">
        <v>45336</v>
      </c>
      <c r="BH835" s="5">
        <v>45351</v>
      </c>
      <c r="BI835" s="5">
        <v>45344</v>
      </c>
      <c r="BJ835" s="129">
        <f t="shared" si="23"/>
        <v>387739.52</v>
      </c>
      <c r="BK835" s="30">
        <v>45345</v>
      </c>
      <c r="BL835" s="1931">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3947</v>
      </c>
      <c r="CF835" s="866"/>
    </row>
    <row r="836" spans="1:84" ht="108.75" hidden="1" customHeight="1">
      <c r="A836" s="1467"/>
      <c r="B836" s="814"/>
      <c r="C836" s="22"/>
      <c r="D836" s="22"/>
      <c r="E836" s="921"/>
      <c r="F836" s="921"/>
      <c r="G836" s="925">
        <v>45623</v>
      </c>
      <c r="H836" s="1793" t="s">
        <v>6333</v>
      </c>
      <c r="I836" s="331">
        <v>45397</v>
      </c>
      <c r="J836" s="331"/>
      <c r="K836" s="169">
        <v>2024</v>
      </c>
      <c r="L836" s="1446">
        <v>245003</v>
      </c>
      <c r="M836" s="1446" t="s">
        <v>6931</v>
      </c>
      <c r="N836" s="170" t="s">
        <v>165</v>
      </c>
      <c r="O836" s="178" t="s">
        <v>6020</v>
      </c>
      <c r="P836" s="172" t="s">
        <v>78</v>
      </c>
      <c r="Q836" s="173" t="s">
        <v>6330</v>
      </c>
      <c r="R836" s="173" t="s">
        <v>4412</v>
      </c>
      <c r="S836" s="586">
        <v>132689.01999999999</v>
      </c>
      <c r="T836" s="582">
        <v>45331</v>
      </c>
      <c r="U836" s="176">
        <v>45332</v>
      </c>
      <c r="V836" s="177">
        <v>45344</v>
      </c>
      <c r="W836" s="105">
        <v>45331</v>
      </c>
      <c r="X836" s="178" t="s">
        <v>738</v>
      </c>
      <c r="Y836" s="170" t="s">
        <v>69</v>
      </c>
      <c r="Z836" s="1698">
        <v>45320</v>
      </c>
      <c r="AA836" s="369" t="s">
        <v>67</v>
      </c>
      <c r="AB836" s="33" t="s">
        <v>6384</v>
      </c>
      <c r="AC836" s="8">
        <v>45331</v>
      </c>
      <c r="AD836" s="4">
        <v>300000</v>
      </c>
      <c r="AE836" s="4"/>
      <c r="AF836" s="32"/>
      <c r="AG836" s="34" t="s">
        <v>67</v>
      </c>
      <c r="AH836" s="112" t="s">
        <v>67</v>
      </c>
      <c r="AI836" s="112" t="s">
        <v>67</v>
      </c>
      <c r="AJ836" s="7" t="s">
        <v>67</v>
      </c>
      <c r="AK836" s="109" t="s">
        <v>67</v>
      </c>
      <c r="AL836" s="33" t="s">
        <v>1111</v>
      </c>
      <c r="AM836" s="2" t="s">
        <v>67</v>
      </c>
      <c r="AN836" s="5"/>
      <c r="AO836" s="2" t="s">
        <v>6420</v>
      </c>
      <c r="AP836" s="239">
        <v>45331</v>
      </c>
      <c r="AQ836" s="2" t="s">
        <v>6421</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6422</v>
      </c>
      <c r="BG836" s="5">
        <v>45332</v>
      </c>
      <c r="BH836" s="5">
        <v>45344</v>
      </c>
      <c r="BI836" s="5">
        <v>45344</v>
      </c>
      <c r="BJ836" s="129">
        <f>AT836+AU836+0.01</f>
        <v>116710.62999999999</v>
      </c>
      <c r="BK836" s="30">
        <v>45348</v>
      </c>
      <c r="BL836" s="1931">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3947</v>
      </c>
      <c r="CF836" s="2007" t="s">
        <v>1142</v>
      </c>
    </row>
    <row r="837" spans="1:84" ht="80.25" hidden="1" customHeight="1">
      <c r="A837" s="1467"/>
      <c r="B837" s="814"/>
      <c r="C837" s="22"/>
      <c r="D837" s="22"/>
      <c r="E837" s="921"/>
      <c r="F837" s="921"/>
      <c r="G837" s="925">
        <v>45623</v>
      </c>
      <c r="H837" s="1793" t="s">
        <v>6333</v>
      </c>
      <c r="I837" s="331">
        <v>45364</v>
      </c>
      <c r="J837" s="331"/>
      <c r="K837" s="169">
        <v>2024</v>
      </c>
      <c r="L837" s="1446">
        <v>245004</v>
      </c>
      <c r="M837" s="1446" t="s">
        <v>6932</v>
      </c>
      <c r="N837" s="170" t="s">
        <v>165</v>
      </c>
      <c r="O837" s="178" t="s">
        <v>6036</v>
      </c>
      <c r="P837" s="172" t="s">
        <v>3215</v>
      </c>
      <c r="Q837" s="2019" t="s">
        <v>6033</v>
      </c>
      <c r="R837" s="173" t="s">
        <v>4827</v>
      </c>
      <c r="S837" s="2018">
        <v>4461580.4000000004</v>
      </c>
      <c r="T837" s="582">
        <v>45338</v>
      </c>
      <c r="U837" s="176">
        <v>45343</v>
      </c>
      <c r="V837" s="177">
        <v>45402</v>
      </c>
      <c r="W837" s="105" t="s">
        <v>67</v>
      </c>
      <c r="X837" s="178" t="s">
        <v>224</v>
      </c>
      <c r="Y837" s="170" t="s">
        <v>212</v>
      </c>
      <c r="Z837" s="1698">
        <v>45334</v>
      </c>
      <c r="AA837" s="369" t="s">
        <v>67</v>
      </c>
      <c r="AB837" s="33" t="s">
        <v>6385</v>
      </c>
      <c r="AC837" s="8">
        <v>45317</v>
      </c>
      <c r="AD837" s="4">
        <v>4464580.4000000004</v>
      </c>
      <c r="AE837" s="4"/>
      <c r="AF837" s="32"/>
      <c r="AG837" s="1578">
        <v>45328</v>
      </c>
      <c r="AH837" s="1579">
        <v>45330</v>
      </c>
      <c r="AI837" s="1579">
        <v>45330</v>
      </c>
      <c r="AJ837" s="1580">
        <v>45335</v>
      </c>
      <c r="AK837" s="407">
        <v>45337</v>
      </c>
      <c r="AL837" s="33" t="s">
        <v>1111</v>
      </c>
      <c r="AM837" s="2" t="s">
        <v>6424</v>
      </c>
      <c r="AN837" s="5">
        <v>45338</v>
      </c>
      <c r="AO837" s="2" t="s">
        <v>6425</v>
      </c>
      <c r="AP837" s="239">
        <v>45338</v>
      </c>
      <c r="AQ837" s="2" t="s">
        <v>6426</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6036</v>
      </c>
      <c r="BG837" s="5">
        <v>45403</v>
      </c>
      <c r="BH837" s="5">
        <v>45402</v>
      </c>
      <c r="BI837" s="5">
        <v>45402</v>
      </c>
      <c r="BJ837" s="129">
        <f t="shared" si="23"/>
        <v>4367131.0199999996</v>
      </c>
      <c r="BK837" s="30">
        <v>45407</v>
      </c>
      <c r="BL837" s="1931">
        <v>45770</v>
      </c>
      <c r="BM837" s="337">
        <v>45341</v>
      </c>
      <c r="BN837" s="1918"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3947</v>
      </c>
      <c r="CF837" s="866"/>
    </row>
    <row r="838" spans="1:84" ht="93" hidden="1" customHeight="1">
      <c r="A838" s="1467"/>
      <c r="B838" s="814"/>
      <c r="C838" s="22"/>
      <c r="D838" s="22"/>
      <c r="E838" s="921"/>
      <c r="F838" s="921"/>
      <c r="G838" s="925">
        <v>45644</v>
      </c>
      <c r="H838" s="1793" t="s">
        <v>6333</v>
      </c>
      <c r="I838" s="331">
        <v>45397</v>
      </c>
      <c r="J838" s="331"/>
      <c r="K838" s="169">
        <v>2024</v>
      </c>
      <c r="L838" s="1446">
        <v>245005</v>
      </c>
      <c r="M838" s="1446" t="s">
        <v>6933</v>
      </c>
      <c r="N838" s="170" t="s">
        <v>165</v>
      </c>
      <c r="O838" s="178" t="s">
        <v>6021</v>
      </c>
      <c r="P838" s="172" t="s">
        <v>78</v>
      </c>
      <c r="Q838" s="2019" t="s">
        <v>6562</v>
      </c>
      <c r="R838" s="173" t="s">
        <v>4827</v>
      </c>
      <c r="S838" s="2018">
        <v>1863104.13</v>
      </c>
      <c r="T838" s="582">
        <v>45356</v>
      </c>
      <c r="U838" s="176">
        <v>45362</v>
      </c>
      <c r="V838" s="177">
        <v>45376</v>
      </c>
      <c r="W838" s="105">
        <v>45355</v>
      </c>
      <c r="X838" s="178" t="s">
        <v>4043</v>
      </c>
      <c r="Y838" s="170" t="s">
        <v>6144</v>
      </c>
      <c r="Z838" s="1698" t="s">
        <v>1427</v>
      </c>
      <c r="AA838" s="369" t="s">
        <v>67</v>
      </c>
      <c r="AB838" s="33" t="s">
        <v>6386</v>
      </c>
      <c r="AC838" s="8">
        <v>45352</v>
      </c>
      <c r="AD838" s="4">
        <v>2132066.66</v>
      </c>
      <c r="AE838" s="4"/>
      <c r="AF838" s="32"/>
      <c r="AG838" s="34" t="s">
        <v>67</v>
      </c>
      <c r="AH838" s="112" t="s">
        <v>67</v>
      </c>
      <c r="AI838" s="112" t="s">
        <v>67</v>
      </c>
      <c r="AJ838" s="7" t="s">
        <v>67</v>
      </c>
      <c r="AK838" s="109" t="s">
        <v>67</v>
      </c>
      <c r="AL838" s="115" t="s">
        <v>1111</v>
      </c>
      <c r="AM838" s="1161" t="s">
        <v>6920</v>
      </c>
      <c r="AN838" s="71">
        <v>45356</v>
      </c>
      <c r="AO838" s="1161" t="s">
        <v>6921</v>
      </c>
      <c r="AP838" s="2006">
        <v>45356</v>
      </c>
      <c r="AQ838" s="1161" t="s">
        <v>6922</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62" t="s">
        <v>6870</v>
      </c>
      <c r="BG838" s="5">
        <v>45362</v>
      </c>
      <c r="BH838" s="5">
        <v>45366</v>
      </c>
      <c r="BI838" s="5">
        <v>45374</v>
      </c>
      <c r="BJ838" s="246">
        <v>1512741.67</v>
      </c>
      <c r="BK838" s="70">
        <v>45384</v>
      </c>
      <c r="BL838" s="1931">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3947</v>
      </c>
      <c r="CF838" s="866" t="s">
        <v>6923</v>
      </c>
    </row>
    <row r="839" spans="1:84" ht="94.5" hidden="1" customHeight="1">
      <c r="A839" s="1467"/>
      <c r="B839" s="814"/>
      <c r="C839" s="22"/>
      <c r="D839" s="22"/>
      <c r="E839" s="921"/>
      <c r="F839" s="921"/>
      <c r="G839" s="925">
        <v>45644</v>
      </c>
      <c r="H839" s="1793" t="s">
        <v>6333</v>
      </c>
      <c r="I839" s="331">
        <v>45397</v>
      </c>
      <c r="J839" s="331"/>
      <c r="K839" s="169">
        <v>2024</v>
      </c>
      <c r="L839" s="1446">
        <v>245006</v>
      </c>
      <c r="M839" s="1446" t="s">
        <v>6933</v>
      </c>
      <c r="N839" s="170" t="s">
        <v>165</v>
      </c>
      <c r="O839" s="178" t="s">
        <v>6022</v>
      </c>
      <c r="P839" s="172" t="s">
        <v>78</v>
      </c>
      <c r="Q839" s="2019" t="s">
        <v>6042</v>
      </c>
      <c r="R839" s="173" t="s">
        <v>4827</v>
      </c>
      <c r="S839" s="2018">
        <v>1911380.28</v>
      </c>
      <c r="T839" s="582">
        <v>45355</v>
      </c>
      <c r="U839" s="176">
        <v>45355</v>
      </c>
      <c r="V839" s="177">
        <v>45369</v>
      </c>
      <c r="W839" s="105">
        <v>45355</v>
      </c>
      <c r="X839" s="178" t="s">
        <v>3472</v>
      </c>
      <c r="Y839" s="170" t="s">
        <v>6144</v>
      </c>
      <c r="Z839" s="1698" t="s">
        <v>1427</v>
      </c>
      <c r="AA839" s="369" t="s">
        <v>67</v>
      </c>
      <c r="AB839" s="115" t="s">
        <v>6384</v>
      </c>
      <c r="AC839" s="74">
        <v>45331</v>
      </c>
      <c r="AD839" s="75">
        <v>3000000</v>
      </c>
      <c r="AE839" s="4"/>
      <c r="AF839" s="32"/>
      <c r="AG839" s="34" t="s">
        <v>67</v>
      </c>
      <c r="AH839" s="112" t="s">
        <v>67</v>
      </c>
      <c r="AI839" s="112" t="s">
        <v>67</v>
      </c>
      <c r="AJ839" s="7" t="s">
        <v>67</v>
      </c>
      <c r="AK839" s="109" t="s">
        <v>67</v>
      </c>
      <c r="AL839" s="115" t="s">
        <v>1111</v>
      </c>
      <c r="AM839" s="1161" t="s">
        <v>6924</v>
      </c>
      <c r="AN839" s="71">
        <v>45356</v>
      </c>
      <c r="AO839" s="1161" t="s">
        <v>6925</v>
      </c>
      <c r="AP839" s="2006">
        <v>45356</v>
      </c>
      <c r="AQ839" s="1161" t="s">
        <v>6926</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62" t="s">
        <v>6927</v>
      </c>
      <c r="BG839" s="71">
        <v>45355</v>
      </c>
      <c r="BH839" s="71">
        <v>45374</v>
      </c>
      <c r="BI839" s="71">
        <v>45369</v>
      </c>
      <c r="BJ839" s="129">
        <f t="shared" si="23"/>
        <v>1856041.13</v>
      </c>
      <c r="BK839" s="70">
        <v>45377</v>
      </c>
      <c r="BL839" s="1931">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3947</v>
      </c>
      <c r="CF839" s="2007"/>
    </row>
    <row r="840" spans="1:84" ht="99" hidden="1" customHeight="1">
      <c r="A840" s="1467"/>
      <c r="B840" s="814"/>
      <c r="C840" s="22"/>
      <c r="D840" s="22"/>
      <c r="E840" s="921"/>
      <c r="F840" s="921"/>
      <c r="G840" s="925">
        <v>45644</v>
      </c>
      <c r="H840" s="1793" t="s">
        <v>6333</v>
      </c>
      <c r="I840" s="331">
        <v>45572</v>
      </c>
      <c r="J840" s="331"/>
      <c r="K840" s="169">
        <v>2024</v>
      </c>
      <c r="L840" s="1446">
        <v>245007</v>
      </c>
      <c r="M840" s="1446" t="s">
        <v>6933</v>
      </c>
      <c r="N840" s="170" t="s">
        <v>165</v>
      </c>
      <c r="O840" s="178" t="s">
        <v>6023</v>
      </c>
      <c r="P840" s="172" t="s">
        <v>78</v>
      </c>
      <c r="Q840" s="173" t="s">
        <v>6157</v>
      </c>
      <c r="R840" s="173" t="s">
        <v>4827</v>
      </c>
      <c r="S840" s="586">
        <v>431465.57</v>
      </c>
      <c r="T840" s="582">
        <v>45356</v>
      </c>
      <c r="U840" s="176">
        <v>45374</v>
      </c>
      <c r="V840" s="177">
        <v>45379</v>
      </c>
      <c r="W840" s="105">
        <v>45355</v>
      </c>
      <c r="X840" s="178" t="s">
        <v>3472</v>
      </c>
      <c r="Y840" s="170" t="s">
        <v>6144</v>
      </c>
      <c r="Z840" s="1698" t="s">
        <v>1427</v>
      </c>
      <c r="AA840" s="369" t="s">
        <v>67</v>
      </c>
      <c r="AB840" s="115" t="s">
        <v>6871</v>
      </c>
      <c r="AC840" s="8">
        <v>45352</v>
      </c>
      <c r="AD840" s="4">
        <v>431465.57</v>
      </c>
      <c r="AE840" s="4"/>
      <c r="AF840" s="32"/>
      <c r="AG840" s="34" t="s">
        <v>67</v>
      </c>
      <c r="AH840" s="112" t="s">
        <v>67</v>
      </c>
      <c r="AI840" s="112" t="s">
        <v>67</v>
      </c>
      <c r="AJ840" s="7" t="s">
        <v>67</v>
      </c>
      <c r="AK840" s="109" t="s">
        <v>67</v>
      </c>
      <c r="AL840" s="33" t="s">
        <v>1111</v>
      </c>
      <c r="AM840" s="2" t="s">
        <v>67</v>
      </c>
      <c r="AN840" s="5"/>
      <c r="AO840" s="2" t="s">
        <v>6427</v>
      </c>
      <c r="AP840" s="239">
        <v>45356</v>
      </c>
      <c r="AQ840" s="2" t="s">
        <v>6428</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6429</v>
      </c>
      <c r="BG840" s="5">
        <v>45374</v>
      </c>
      <c r="BH840" s="5">
        <v>45379</v>
      </c>
      <c r="BI840" s="5">
        <v>45379</v>
      </c>
      <c r="BJ840" s="129">
        <f t="shared" si="23"/>
        <v>392418.51</v>
      </c>
      <c r="BK840" s="30">
        <v>45383</v>
      </c>
      <c r="BL840" s="1931">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3947</v>
      </c>
      <c r="CF840" s="2007"/>
    </row>
    <row r="841" spans="1:84" ht="69.75" hidden="1" customHeight="1">
      <c r="A841" s="1467"/>
      <c r="B841" s="814"/>
      <c r="C841" s="22"/>
      <c r="D841" s="22"/>
      <c r="E841" s="921"/>
      <c r="F841" s="921"/>
      <c r="G841" s="925">
        <v>45645</v>
      </c>
      <c r="H841" s="1793" t="s">
        <v>6333</v>
      </c>
      <c r="I841" s="331">
        <v>45397</v>
      </c>
      <c r="J841" s="331"/>
      <c r="K841" s="169">
        <v>2024</v>
      </c>
      <c r="L841" s="1446">
        <v>245008</v>
      </c>
      <c r="M841" s="1446" t="s">
        <v>6930</v>
      </c>
      <c r="N841" s="170" t="s">
        <v>165</v>
      </c>
      <c r="O841" s="178" t="s">
        <v>6037</v>
      </c>
      <c r="P841" s="172" t="s">
        <v>3215</v>
      </c>
      <c r="Q841" s="2019" t="s">
        <v>6038</v>
      </c>
      <c r="R841" s="173" t="s">
        <v>1975</v>
      </c>
      <c r="S841" s="2018">
        <v>7514599.0899999999</v>
      </c>
      <c r="T841" s="582">
        <v>45350</v>
      </c>
      <c r="U841" s="176">
        <v>45351</v>
      </c>
      <c r="V841" s="177">
        <v>45427</v>
      </c>
      <c r="W841" s="105" t="s">
        <v>67</v>
      </c>
      <c r="X841" s="178" t="s">
        <v>6039</v>
      </c>
      <c r="Y841" s="170" t="s">
        <v>448</v>
      </c>
      <c r="Z841" s="1698">
        <v>45341</v>
      </c>
      <c r="AA841" s="369" t="s">
        <v>67</v>
      </c>
      <c r="AB841" s="33" t="s">
        <v>6387</v>
      </c>
      <c r="AC841" s="8">
        <v>45345</v>
      </c>
      <c r="AD841" s="4">
        <v>7317180.4000000004</v>
      </c>
      <c r="AE841" s="4"/>
      <c r="AF841" s="32"/>
      <c r="AG841" s="1578">
        <v>45345</v>
      </c>
      <c r="AH841" s="1579">
        <v>45346</v>
      </c>
      <c r="AI841" s="1579">
        <v>45346</v>
      </c>
      <c r="AJ841" s="1580">
        <v>45348</v>
      </c>
      <c r="AK841" s="407">
        <v>45349</v>
      </c>
      <c r="AL841" s="33" t="s">
        <v>4558</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62" t="s">
        <v>6037</v>
      </c>
      <c r="BG841" s="71">
        <v>45351</v>
      </c>
      <c r="BH841" s="71">
        <v>45427</v>
      </c>
      <c r="BI841" s="71">
        <v>45397</v>
      </c>
      <c r="BJ841" s="129">
        <f>AT841+AU841-0.01</f>
        <v>8072090.7800000003</v>
      </c>
      <c r="BK841" s="70">
        <v>45397</v>
      </c>
      <c r="BL841" s="1931">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3947</v>
      </c>
      <c r="CF841" s="2007"/>
    </row>
    <row r="842" spans="1:84" ht="79.5" hidden="1" customHeight="1">
      <c r="A842" s="1467"/>
      <c r="B842" s="814"/>
      <c r="C842" s="22"/>
      <c r="D842" s="22"/>
      <c r="E842" s="921"/>
      <c r="F842" s="921"/>
      <c r="G842" s="925">
        <v>45646</v>
      </c>
      <c r="H842" s="1793" t="s">
        <v>6333</v>
      </c>
      <c r="I842" s="331">
        <v>45601</v>
      </c>
      <c r="J842" s="331"/>
      <c r="K842" s="169">
        <v>2024</v>
      </c>
      <c r="L842" s="1446">
        <v>245009</v>
      </c>
      <c r="M842" s="1446" t="s">
        <v>6934</v>
      </c>
      <c r="N842" s="170" t="s">
        <v>165</v>
      </c>
      <c r="O842" s="178" t="s">
        <v>6024</v>
      </c>
      <c r="P842" s="172" t="s">
        <v>78</v>
      </c>
      <c r="Q842" s="173" t="s">
        <v>6153</v>
      </c>
      <c r="R842" s="173" t="s">
        <v>1975</v>
      </c>
      <c r="S842" s="586">
        <v>948599.13</v>
      </c>
      <c r="T842" s="582">
        <v>45363</v>
      </c>
      <c r="U842" s="176">
        <v>45384</v>
      </c>
      <c r="V842" s="177">
        <v>45467</v>
      </c>
      <c r="W842" s="105">
        <v>45362</v>
      </c>
      <c r="X842" s="178" t="s">
        <v>4453</v>
      </c>
      <c r="Y842" s="170" t="s">
        <v>1106</v>
      </c>
      <c r="Z842" s="1698" t="s">
        <v>1427</v>
      </c>
      <c r="AA842" s="369" t="s">
        <v>67</v>
      </c>
      <c r="AB842" s="33" t="s">
        <v>6388</v>
      </c>
      <c r="AC842" s="8">
        <v>45331</v>
      </c>
      <c r="AD842" s="4">
        <v>948599.13</v>
      </c>
      <c r="AE842" s="4"/>
      <c r="AF842" s="32"/>
      <c r="AG842" s="34" t="s">
        <v>67</v>
      </c>
      <c r="AH842" s="112" t="s">
        <v>67</v>
      </c>
      <c r="AI842" s="112" t="s">
        <v>67</v>
      </c>
      <c r="AJ842" s="7" t="s">
        <v>67</v>
      </c>
      <c r="AK842" s="109" t="s">
        <v>67</v>
      </c>
      <c r="AL842" s="33" t="s">
        <v>4558</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62" t="s">
        <v>6936</v>
      </c>
      <c r="BG842" s="71">
        <v>45384</v>
      </c>
      <c r="BH842" s="71">
        <v>45467</v>
      </c>
      <c r="BI842" s="71">
        <v>45436</v>
      </c>
      <c r="BJ842" s="129">
        <f>AT842+AU842+0.02</f>
        <v>988798.47</v>
      </c>
      <c r="BK842" s="70">
        <v>45440</v>
      </c>
      <c r="BL842" s="1931">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3947</v>
      </c>
      <c r="CF842" s="866" t="s">
        <v>6915</v>
      </c>
    </row>
    <row r="843" spans="1:84" ht="71.25" hidden="1" customHeight="1">
      <c r="A843" s="1467"/>
      <c r="B843" s="814"/>
      <c r="C843" s="22"/>
      <c r="D843" s="22"/>
      <c r="E843" s="921"/>
      <c r="F843" s="921"/>
      <c r="G843" s="925">
        <v>45646</v>
      </c>
      <c r="H843" s="1793" t="s">
        <v>6333</v>
      </c>
      <c r="I843" s="331">
        <v>45397</v>
      </c>
      <c r="J843" s="2016">
        <v>34622</v>
      </c>
      <c r="K843" s="169">
        <v>2024</v>
      </c>
      <c r="L843" s="1446">
        <v>245010</v>
      </c>
      <c r="M843" s="1446" t="s">
        <v>6935</v>
      </c>
      <c r="N843" s="170" t="s">
        <v>76</v>
      </c>
      <c r="O843" s="178" t="s">
        <v>6025</v>
      </c>
      <c r="P843" s="172" t="s">
        <v>78</v>
      </c>
      <c r="Q843" s="173" t="s">
        <v>6329</v>
      </c>
      <c r="R843" s="173" t="s">
        <v>3626</v>
      </c>
      <c r="S843" s="586">
        <v>568143.82999999996</v>
      </c>
      <c r="T843" s="582">
        <v>45364</v>
      </c>
      <c r="U843" s="176">
        <v>45376</v>
      </c>
      <c r="V843" s="177">
        <v>45413</v>
      </c>
      <c r="W843" s="105">
        <v>45363</v>
      </c>
      <c r="X843" s="178" t="s">
        <v>1318</v>
      </c>
      <c r="Y843" s="170" t="s">
        <v>212</v>
      </c>
      <c r="Z843" s="1902" t="s">
        <v>73</v>
      </c>
      <c r="AA843" s="1412"/>
      <c r="AB843" s="33" t="s">
        <v>6402</v>
      </c>
      <c r="AC843" s="8">
        <v>45331</v>
      </c>
      <c r="AD843" s="4">
        <v>568143.82999999996</v>
      </c>
      <c r="AE843" s="4"/>
      <c r="AF843" s="32"/>
      <c r="AG843" s="34" t="s">
        <v>67</v>
      </c>
      <c r="AH843" s="112" t="s">
        <v>67</v>
      </c>
      <c r="AI843" s="112" t="s">
        <v>67</v>
      </c>
      <c r="AJ843" s="7" t="s">
        <v>67</v>
      </c>
      <c r="AK843" s="109" t="s">
        <v>67</v>
      </c>
      <c r="AL843" s="33" t="s">
        <v>6872</v>
      </c>
      <c r="AM843" s="2" t="s">
        <v>6873</v>
      </c>
      <c r="AN843" s="5">
        <v>45364</v>
      </c>
      <c r="AO843" s="2" t="s">
        <v>6874</v>
      </c>
      <c r="AP843" s="239">
        <v>45364</v>
      </c>
      <c r="AQ843" s="2" t="s">
        <v>6875</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62" t="s">
        <v>6025</v>
      </c>
      <c r="BG843" s="71">
        <v>45376</v>
      </c>
      <c r="BH843" s="71">
        <v>45413</v>
      </c>
      <c r="BI843" s="71">
        <v>45416</v>
      </c>
      <c r="BJ843" s="129">
        <f>AT843+AU843+0.01</f>
        <v>701966.81</v>
      </c>
      <c r="BK843" s="70">
        <v>45419</v>
      </c>
      <c r="BL843" s="1931">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3947</v>
      </c>
      <c r="CF843" s="866" t="s">
        <v>6915</v>
      </c>
    </row>
    <row r="844" spans="1:84" ht="77.25" hidden="1" customHeight="1">
      <c r="A844" s="1467"/>
      <c r="B844" s="814"/>
      <c r="C844" s="22"/>
      <c r="D844" s="22"/>
      <c r="E844" s="921"/>
      <c r="F844" s="921"/>
      <c r="G844" s="925">
        <v>45646</v>
      </c>
      <c r="H844" s="1793" t="s">
        <v>6333</v>
      </c>
      <c r="I844" s="331">
        <v>45582</v>
      </c>
      <c r="J844" s="2016">
        <v>93742</v>
      </c>
      <c r="K844" s="169">
        <v>2024</v>
      </c>
      <c r="L844" s="1446">
        <v>245011</v>
      </c>
      <c r="M844" s="1446" t="s">
        <v>6937</v>
      </c>
      <c r="N844" s="170" t="s">
        <v>76</v>
      </c>
      <c r="O844" s="178" t="s">
        <v>6156</v>
      </c>
      <c r="P844" s="172" t="s">
        <v>3215</v>
      </c>
      <c r="Q844" s="2019" t="s">
        <v>6161</v>
      </c>
      <c r="R844" s="173" t="s">
        <v>1975</v>
      </c>
      <c r="S844" s="2018">
        <v>5799082.5300000003</v>
      </c>
      <c r="T844" s="582">
        <v>45394</v>
      </c>
      <c r="U844" s="176">
        <v>45397</v>
      </c>
      <c r="V844" s="177">
        <v>45458</v>
      </c>
      <c r="W844" s="105" t="s">
        <v>67</v>
      </c>
      <c r="X844" s="178" t="s">
        <v>3472</v>
      </c>
      <c r="Y844" s="170" t="s">
        <v>69</v>
      </c>
      <c r="Z844" s="1902" t="s">
        <v>73</v>
      </c>
      <c r="AA844" s="1412"/>
      <c r="AB844" s="33" t="s">
        <v>6403</v>
      </c>
      <c r="AC844" s="8">
        <v>45344</v>
      </c>
      <c r="AD844" s="4">
        <v>5800000</v>
      </c>
      <c r="AE844" s="4"/>
      <c r="AF844" s="32"/>
      <c r="AG844" s="702">
        <v>45383</v>
      </c>
      <c r="AH844" s="180">
        <v>45385</v>
      </c>
      <c r="AI844" s="180">
        <v>45385</v>
      </c>
      <c r="AJ844" s="179">
        <v>45390</v>
      </c>
      <c r="AK844" s="676">
        <v>45392</v>
      </c>
      <c r="AL844" s="33" t="s">
        <v>1111</v>
      </c>
      <c r="AM844" s="2" t="s">
        <v>6414</v>
      </c>
      <c r="AN844" s="5">
        <v>45394</v>
      </c>
      <c r="AO844" s="1161" t="s">
        <v>6938</v>
      </c>
      <c r="AP844" s="2006">
        <v>45394</v>
      </c>
      <c r="AQ844" s="1161" t="s">
        <v>6939</v>
      </c>
      <c r="AR844" s="2006">
        <v>45460</v>
      </c>
      <c r="AS844" s="898">
        <f>1739724.76+757212.23+757212.24</f>
        <v>3254149.2300000004</v>
      </c>
      <c r="AT844" s="2010">
        <v>0</v>
      </c>
      <c r="AU844" s="905">
        <v>7572122.3899999997</v>
      </c>
      <c r="AV844" s="901"/>
      <c r="AW844" s="30">
        <v>45397</v>
      </c>
      <c r="AX844" s="11">
        <v>45458</v>
      </c>
      <c r="AY844" s="224"/>
      <c r="AZ844" s="52"/>
      <c r="BA844" s="70">
        <v>45460</v>
      </c>
      <c r="BB844" s="71">
        <v>45397</v>
      </c>
      <c r="BC844" s="71">
        <v>45458</v>
      </c>
      <c r="BD844" s="127">
        <v>45458</v>
      </c>
      <c r="BE844" s="70">
        <v>45461</v>
      </c>
      <c r="BF844" s="1662" t="s">
        <v>6940</v>
      </c>
      <c r="BG844" s="71">
        <v>45397</v>
      </c>
      <c r="BH844" s="71">
        <v>45458</v>
      </c>
      <c r="BI844" s="71">
        <v>45458</v>
      </c>
      <c r="BJ844" s="129">
        <f>AT844+AU844+0.01</f>
        <v>7572122.3999999994</v>
      </c>
      <c r="BK844" s="68">
        <v>45461</v>
      </c>
      <c r="BL844" s="1999">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3947</v>
      </c>
      <c r="CF844" s="866" t="s">
        <v>6915</v>
      </c>
    </row>
    <row r="845" spans="1:84" ht="72.75" hidden="1" customHeight="1">
      <c r="A845" s="1467"/>
      <c r="B845" s="814"/>
      <c r="C845" s="22"/>
      <c r="D845" s="22"/>
      <c r="E845" s="921"/>
      <c r="F845" s="921"/>
      <c r="G845" s="925">
        <v>45646</v>
      </c>
      <c r="H845" s="1793" t="s">
        <v>6333</v>
      </c>
      <c r="I845" s="331">
        <v>45582</v>
      </c>
      <c r="J845" s="331"/>
      <c r="K845" s="169">
        <v>2024</v>
      </c>
      <c r="L845" s="1446">
        <v>245012</v>
      </c>
      <c r="M845" s="1446" t="s">
        <v>6941</v>
      </c>
      <c r="N845" s="170" t="s">
        <v>165</v>
      </c>
      <c r="O845" s="178" t="s">
        <v>6174</v>
      </c>
      <c r="P845" s="172" t="s">
        <v>3215</v>
      </c>
      <c r="Q845" s="2019" t="s">
        <v>6175</v>
      </c>
      <c r="R845" s="173" t="s">
        <v>1975</v>
      </c>
      <c r="S845" s="2018">
        <v>4428068</v>
      </c>
      <c r="T845" s="582">
        <v>45394</v>
      </c>
      <c r="U845" s="176">
        <v>45414</v>
      </c>
      <c r="V845" s="177">
        <v>45458</v>
      </c>
      <c r="W845" s="105" t="s">
        <v>67</v>
      </c>
      <c r="X845" s="178" t="s">
        <v>6176</v>
      </c>
      <c r="Y845" s="170" t="s">
        <v>1106</v>
      </c>
      <c r="Z845" s="1698" t="s">
        <v>1427</v>
      </c>
      <c r="AA845" s="369" t="s">
        <v>67</v>
      </c>
      <c r="AB845" s="338" t="s">
        <v>73</v>
      </c>
      <c r="AC845" s="8"/>
      <c r="AD845" s="4"/>
      <c r="AE845" s="4"/>
      <c r="AF845" s="32"/>
      <c r="AG845" s="1578">
        <v>45383</v>
      </c>
      <c r="AH845" s="1579">
        <v>45385</v>
      </c>
      <c r="AI845" s="1579">
        <v>45385</v>
      </c>
      <c r="AJ845" s="1580">
        <v>45391</v>
      </c>
      <c r="AK845" s="407">
        <v>45393</v>
      </c>
      <c r="AL845" s="33" t="s">
        <v>106</v>
      </c>
      <c r="AM845" s="2" t="s">
        <v>6876</v>
      </c>
      <c r="AN845" s="5">
        <v>45394</v>
      </c>
      <c r="AO845" s="2" t="s">
        <v>6877</v>
      </c>
      <c r="AP845" s="239">
        <v>45394</v>
      </c>
      <c r="AQ845" s="2" t="s">
        <v>6878</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62" t="s">
        <v>6174</v>
      </c>
      <c r="BG845" s="71">
        <v>45414</v>
      </c>
      <c r="BH845" s="71">
        <v>45473</v>
      </c>
      <c r="BI845" s="71">
        <v>45381</v>
      </c>
      <c r="BJ845" s="129">
        <f t="shared" si="23"/>
        <v>5581497.9199999999</v>
      </c>
      <c r="BK845" s="70">
        <v>45476</v>
      </c>
      <c r="BL845" s="1931">
        <v>45841</v>
      </c>
      <c r="BM845" s="337">
        <v>45412</v>
      </c>
      <c r="BN845" s="71">
        <v>45414</v>
      </c>
      <c r="BO845" s="71">
        <v>45414</v>
      </c>
      <c r="BP845" s="924"/>
      <c r="BQ845" s="924">
        <v>45414</v>
      </c>
      <c r="BR845" s="924">
        <v>45414</v>
      </c>
      <c r="BS845" s="924">
        <v>45414</v>
      </c>
      <c r="BT845" s="924">
        <v>45475</v>
      </c>
      <c r="BU845" s="924">
        <v>45475</v>
      </c>
      <c r="BV845" s="1757" t="s">
        <v>5868</v>
      </c>
      <c r="BW845" s="337" t="s">
        <v>61</v>
      </c>
      <c r="BX845" s="13"/>
      <c r="BY845" s="22"/>
      <c r="BZ845" s="22"/>
      <c r="CA845" s="22"/>
      <c r="CB845" s="22"/>
      <c r="CC845" s="22"/>
      <c r="CD845" s="22"/>
      <c r="CE845" s="1246" t="s">
        <v>3947</v>
      </c>
      <c r="CF845" s="2007" t="s">
        <v>1142</v>
      </c>
    </row>
    <row r="846" spans="1:84" ht="79.5" hidden="1" customHeight="1">
      <c r="A846" s="1467"/>
      <c r="B846" s="814"/>
      <c r="C846" s="22"/>
      <c r="D846" s="22"/>
      <c r="E846" s="921"/>
      <c r="F846" s="921"/>
      <c r="G846" s="925">
        <v>45625</v>
      </c>
      <c r="H846" s="1793" t="s">
        <v>1404</v>
      </c>
      <c r="I846" s="331"/>
      <c r="J846" s="2016">
        <v>67258</v>
      </c>
      <c r="K846" s="169">
        <v>2024</v>
      </c>
      <c r="L846" s="1446">
        <v>245013</v>
      </c>
      <c r="M846" s="1446"/>
      <c r="N846" s="170" t="s">
        <v>76</v>
      </c>
      <c r="O846" s="178" t="s">
        <v>6145</v>
      </c>
      <c r="P846" s="172" t="s">
        <v>78</v>
      </c>
      <c r="Q846" s="173" t="s">
        <v>6180</v>
      </c>
      <c r="R846" s="173" t="s">
        <v>3626</v>
      </c>
      <c r="S846" s="586">
        <v>979189.38</v>
      </c>
      <c r="T846" s="582">
        <v>45400</v>
      </c>
      <c r="U846" s="176">
        <v>45418</v>
      </c>
      <c r="V846" s="177">
        <v>45443</v>
      </c>
      <c r="W846" s="105">
        <v>45399</v>
      </c>
      <c r="X846" s="178" t="s">
        <v>1318</v>
      </c>
      <c r="Y846" s="170" t="s">
        <v>212</v>
      </c>
      <c r="Z846" s="1902" t="s">
        <v>73</v>
      </c>
      <c r="AA846" s="1412"/>
      <c r="AB846" s="33" t="s">
        <v>6404</v>
      </c>
      <c r="AC846" s="8">
        <v>45379</v>
      </c>
      <c r="AD846" s="4">
        <v>979189.38</v>
      </c>
      <c r="AE846" s="4"/>
      <c r="AF846" s="32"/>
      <c r="AG846" s="34" t="s">
        <v>67</v>
      </c>
      <c r="AH846" s="112" t="s">
        <v>67</v>
      </c>
      <c r="AI846" s="112" t="s">
        <v>67</v>
      </c>
      <c r="AJ846" s="7" t="s">
        <v>67</v>
      </c>
      <c r="AK846" s="109" t="s">
        <v>67</v>
      </c>
      <c r="AL846" s="33" t="s">
        <v>6872</v>
      </c>
      <c r="AM846" s="2" t="s">
        <v>6879</v>
      </c>
      <c r="AN846" s="5">
        <v>45418</v>
      </c>
      <c r="AO846" s="2" t="s">
        <v>6880</v>
      </c>
      <c r="AP846" s="239">
        <v>45418</v>
      </c>
      <c r="AQ846" s="2" t="s">
        <v>6881</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6145</v>
      </c>
      <c r="BG846" s="5">
        <v>45418</v>
      </c>
      <c r="BH846" s="5">
        <v>45443</v>
      </c>
      <c r="BI846" s="5">
        <v>45443</v>
      </c>
      <c r="BJ846" s="254">
        <f t="shared" si="23"/>
        <v>979189.38</v>
      </c>
      <c r="BK846" s="30">
        <v>45457</v>
      </c>
      <c r="BL846" s="1931">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3947</v>
      </c>
      <c r="CF846" s="866"/>
    </row>
    <row r="847" spans="1:84" ht="88.5" hidden="1" customHeight="1">
      <c r="A847" s="1467"/>
      <c r="B847" s="814"/>
      <c r="C847" s="22"/>
      <c r="D847" s="22"/>
      <c r="E847" s="921"/>
      <c r="F847" s="921"/>
      <c r="G847" s="925">
        <v>45628</v>
      </c>
      <c r="H847" s="1793" t="s">
        <v>6333</v>
      </c>
      <c r="I847" s="331"/>
      <c r="J847" s="331"/>
      <c r="K847" s="169">
        <v>2024</v>
      </c>
      <c r="L847" s="1446">
        <v>245014</v>
      </c>
      <c r="M847" s="1446"/>
      <c r="N847" s="170" t="s">
        <v>165</v>
      </c>
      <c r="O847" s="178" t="s">
        <v>6146</v>
      </c>
      <c r="P847" s="172" t="s">
        <v>78</v>
      </c>
      <c r="Q847" s="173" t="s">
        <v>6172</v>
      </c>
      <c r="R847" s="173" t="s">
        <v>1975</v>
      </c>
      <c r="S847" s="586">
        <v>802898.64</v>
      </c>
      <c r="T847" s="582">
        <v>45419</v>
      </c>
      <c r="U847" s="176">
        <v>45420</v>
      </c>
      <c r="V847" s="177">
        <v>45442</v>
      </c>
      <c r="W847" s="105">
        <v>45418</v>
      </c>
      <c r="X847" s="178" t="s">
        <v>3963</v>
      </c>
      <c r="Y847" s="170" t="s">
        <v>448</v>
      </c>
      <c r="Z847" s="1698" t="s">
        <v>1427</v>
      </c>
      <c r="AA847" s="369" t="s">
        <v>67</v>
      </c>
      <c r="AB847" s="33" t="s">
        <v>6389</v>
      </c>
      <c r="AC847" s="8">
        <v>45432</v>
      </c>
      <c r="AD847" s="4">
        <v>900000</v>
      </c>
      <c r="AE847" s="4"/>
      <c r="AF847" s="32"/>
      <c r="AG847" s="34" t="s">
        <v>67</v>
      </c>
      <c r="AH847" s="112" t="s">
        <v>67</v>
      </c>
      <c r="AI847" s="112" t="s">
        <v>67</v>
      </c>
      <c r="AJ847" s="7" t="s">
        <v>67</v>
      </c>
      <c r="AK847" s="109" t="s">
        <v>67</v>
      </c>
      <c r="AL847" s="33" t="s">
        <v>6882</v>
      </c>
      <c r="AM847" s="2" t="s">
        <v>6883</v>
      </c>
      <c r="AN847" s="5">
        <v>45419</v>
      </c>
      <c r="AO847" s="2" t="s">
        <v>6884</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62" t="s">
        <v>6146</v>
      </c>
      <c r="BG847" s="71">
        <v>45422</v>
      </c>
      <c r="BH847" s="71">
        <v>45442</v>
      </c>
      <c r="BI847" s="71">
        <v>45441</v>
      </c>
      <c r="BJ847" s="129">
        <f t="shared" si="23"/>
        <v>802898.41</v>
      </c>
      <c r="BK847" s="70">
        <v>45441</v>
      </c>
      <c r="BL847" s="1931">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3947</v>
      </c>
      <c r="CF847" s="866"/>
    </row>
    <row r="848" spans="1:84" ht="128.25" hidden="1" customHeight="1">
      <c r="A848" s="1467"/>
      <c r="B848" s="814"/>
      <c r="C848" s="22"/>
      <c r="D848" s="22"/>
      <c r="E848" s="921"/>
      <c r="F848" s="921"/>
      <c r="G848" s="925">
        <v>45628</v>
      </c>
      <c r="H848" s="1793" t="s">
        <v>6333</v>
      </c>
      <c r="I848" s="331"/>
      <c r="J848" s="2016">
        <v>100429</v>
      </c>
      <c r="K848" s="169">
        <v>2024</v>
      </c>
      <c r="L848" s="1446">
        <v>245015</v>
      </c>
      <c r="M848" s="1446"/>
      <c r="N848" s="170" t="s">
        <v>76</v>
      </c>
      <c r="O848" s="178" t="s">
        <v>6147</v>
      </c>
      <c r="P848" s="172" t="s">
        <v>78</v>
      </c>
      <c r="Q848" s="173" t="s">
        <v>6181</v>
      </c>
      <c r="R848" s="173" t="s">
        <v>1975</v>
      </c>
      <c r="S848" s="586">
        <v>944743.84</v>
      </c>
      <c r="T848" s="582">
        <v>45419</v>
      </c>
      <c r="U848" s="176">
        <v>45423</v>
      </c>
      <c r="V848" s="177">
        <v>45443</v>
      </c>
      <c r="W848" s="105">
        <v>45418</v>
      </c>
      <c r="X848" s="178" t="s">
        <v>4453</v>
      </c>
      <c r="Y848" s="170" t="s">
        <v>448</v>
      </c>
      <c r="Z848" s="1902" t="s">
        <v>73</v>
      </c>
      <c r="AA848" s="1412"/>
      <c r="AB848" s="338" t="s">
        <v>73</v>
      </c>
      <c r="AC848" s="8"/>
      <c r="AD848" s="4"/>
      <c r="AE848" s="4"/>
      <c r="AF848" s="32"/>
      <c r="AG848" s="34" t="s">
        <v>67</v>
      </c>
      <c r="AH848" s="112" t="s">
        <v>67</v>
      </c>
      <c r="AI848" s="112" t="s">
        <v>67</v>
      </c>
      <c r="AJ848" s="7" t="s">
        <v>67</v>
      </c>
      <c r="AK848" s="109" t="s">
        <v>67</v>
      </c>
      <c r="AL848" s="33" t="s">
        <v>4558</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6147</v>
      </c>
      <c r="BG848" s="5">
        <v>45423</v>
      </c>
      <c r="BH848" s="5">
        <v>45443</v>
      </c>
      <c r="BI848" s="5">
        <v>45443</v>
      </c>
      <c r="BJ848" s="129">
        <f t="shared" si="23"/>
        <v>954258.28</v>
      </c>
      <c r="BK848" s="30">
        <v>45453</v>
      </c>
      <c r="BL848" s="1931">
        <v>45808</v>
      </c>
      <c r="BM848" s="337">
        <v>45421</v>
      </c>
      <c r="BN848" s="71">
        <v>45420</v>
      </c>
      <c r="BO848" s="71">
        <v>45423</v>
      </c>
      <c r="BP848" s="924"/>
      <c r="BQ848" s="924">
        <v>45420</v>
      </c>
      <c r="BR848" s="924">
        <v>45420</v>
      </c>
      <c r="BS848" s="924">
        <v>45420</v>
      </c>
      <c r="BT848" s="924">
        <v>45443</v>
      </c>
      <c r="BU848" s="924">
        <v>45444</v>
      </c>
      <c r="BV848" s="924" t="s">
        <v>6885</v>
      </c>
      <c r="BW848" s="923"/>
      <c r="BX848" s="13"/>
      <c r="BY848" s="22"/>
      <c r="BZ848" s="22"/>
      <c r="CA848" s="22"/>
      <c r="CB848" s="22"/>
      <c r="CC848" s="22"/>
      <c r="CD848" s="22"/>
      <c r="CE848" s="1246" t="s">
        <v>3947</v>
      </c>
      <c r="CF848" s="866"/>
    </row>
    <row r="849" spans="1:84" ht="98.25" hidden="1" customHeight="1">
      <c r="A849" s="1467"/>
      <c r="B849" s="814"/>
      <c r="C849" s="22"/>
      <c r="D849" s="22"/>
      <c r="E849" s="921"/>
      <c r="F849" s="921"/>
      <c r="G849" s="925">
        <v>45628</v>
      </c>
      <c r="H849" s="1793" t="s">
        <v>6333</v>
      </c>
      <c r="I849" s="331"/>
      <c r="J849" s="331"/>
      <c r="K849" s="169">
        <v>2024</v>
      </c>
      <c r="L849" s="1446">
        <v>245016</v>
      </c>
      <c r="M849" s="1446"/>
      <c r="N849" s="170" t="s">
        <v>165</v>
      </c>
      <c r="O849" s="178" t="s">
        <v>6148</v>
      </c>
      <c r="P849" s="172" t="s">
        <v>78</v>
      </c>
      <c r="Q849" s="173" t="s">
        <v>6184</v>
      </c>
      <c r="R849" s="173" t="s">
        <v>1975</v>
      </c>
      <c r="S849" s="586">
        <v>152167.64000000001</v>
      </c>
      <c r="T849" s="582">
        <v>45446</v>
      </c>
      <c r="U849" s="176">
        <v>45432</v>
      </c>
      <c r="V849" s="177">
        <v>45440</v>
      </c>
      <c r="W849" s="105">
        <v>45443</v>
      </c>
      <c r="X849" s="178" t="s">
        <v>4453</v>
      </c>
      <c r="Y849" s="170" t="s">
        <v>1106</v>
      </c>
      <c r="Z849" s="1698">
        <v>45446</v>
      </c>
      <c r="AA849" s="369" t="s">
        <v>67</v>
      </c>
      <c r="AB849" s="33" t="s">
        <v>6390</v>
      </c>
      <c r="AC849" s="8">
        <v>45478</v>
      </c>
      <c r="AD849" s="4">
        <v>152167.64000000001</v>
      </c>
      <c r="AE849" s="4"/>
      <c r="AF849" s="32"/>
      <c r="AG849" s="34" t="s">
        <v>67</v>
      </c>
      <c r="AH849" s="112" t="s">
        <v>67</v>
      </c>
      <c r="AI849" s="112" t="s">
        <v>67</v>
      </c>
      <c r="AJ849" s="7" t="s">
        <v>67</v>
      </c>
      <c r="AK849" s="109" t="s">
        <v>67</v>
      </c>
      <c r="AL849" s="33" t="s">
        <v>4558</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6148</v>
      </c>
      <c r="BG849" s="5">
        <v>45446</v>
      </c>
      <c r="BH849" s="5">
        <v>45454</v>
      </c>
      <c r="BI849" s="5">
        <v>45454</v>
      </c>
      <c r="BJ849" s="129">
        <f t="shared" si="23"/>
        <v>152167.64000000001</v>
      </c>
      <c r="BK849" s="30">
        <v>45469</v>
      </c>
      <c r="BL849" s="1931">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3947</v>
      </c>
      <c r="CF849" s="866"/>
    </row>
    <row r="850" spans="1:84" ht="117" hidden="1" customHeight="1">
      <c r="A850" s="1467"/>
      <c r="B850" s="814"/>
      <c r="C850" s="22"/>
      <c r="D850" s="22"/>
      <c r="E850" s="921"/>
      <c r="F850" s="921"/>
      <c r="G850" s="925">
        <v>45628</v>
      </c>
      <c r="H850" s="1793" t="s">
        <v>6333</v>
      </c>
      <c r="I850" s="331"/>
      <c r="J850" s="331"/>
      <c r="K850" s="169">
        <v>2024</v>
      </c>
      <c r="L850" s="1446">
        <v>245017</v>
      </c>
      <c r="M850" s="1446"/>
      <c r="N850" s="170" t="s">
        <v>165</v>
      </c>
      <c r="O850" s="178" t="s">
        <v>6149</v>
      </c>
      <c r="P850" s="172" t="s">
        <v>78</v>
      </c>
      <c r="Q850" s="173" t="s">
        <v>6563</v>
      </c>
      <c r="R850" s="173" t="s">
        <v>1975</v>
      </c>
      <c r="S850" s="586">
        <v>687485.47</v>
      </c>
      <c r="T850" s="582">
        <v>45450</v>
      </c>
      <c r="U850" s="176">
        <v>45453</v>
      </c>
      <c r="V850" s="177">
        <v>45471</v>
      </c>
      <c r="W850" s="105">
        <v>45449</v>
      </c>
      <c r="X850" s="178" t="s">
        <v>4365</v>
      </c>
      <c r="Y850" s="170" t="s">
        <v>448</v>
      </c>
      <c r="Z850" s="1698">
        <v>45446</v>
      </c>
      <c r="AA850" s="369" t="s">
        <v>67</v>
      </c>
      <c r="AB850" s="33" t="s">
        <v>6391</v>
      </c>
      <c r="AC850" s="8">
        <v>45448</v>
      </c>
      <c r="AD850" s="4">
        <v>700000</v>
      </c>
      <c r="AE850" s="4"/>
      <c r="AF850" s="32"/>
      <c r="AG850" s="34" t="s">
        <v>67</v>
      </c>
      <c r="AH850" s="112" t="s">
        <v>67</v>
      </c>
      <c r="AI850" s="112" t="s">
        <v>67</v>
      </c>
      <c r="AJ850" s="7" t="s">
        <v>67</v>
      </c>
      <c r="AK850" s="109" t="s">
        <v>67</v>
      </c>
      <c r="AL850" s="33" t="s">
        <v>6886</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62" t="s">
        <v>6887</v>
      </c>
      <c r="BG850" s="71">
        <v>45453</v>
      </c>
      <c r="BH850" s="71">
        <v>45471</v>
      </c>
      <c r="BI850" s="71">
        <v>45471</v>
      </c>
      <c r="BJ850" s="129">
        <f t="shared" si="23"/>
        <v>687485.47</v>
      </c>
      <c r="BK850" s="70">
        <v>45472</v>
      </c>
      <c r="BL850" s="1931">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3947</v>
      </c>
      <c r="CF850" s="866"/>
    </row>
    <row r="851" spans="1:84" ht="97.5" hidden="1" customHeight="1">
      <c r="A851" s="1467"/>
      <c r="B851" s="814"/>
      <c r="C851" s="22"/>
      <c r="D851" s="22"/>
      <c r="E851" s="921"/>
      <c r="F851" s="921"/>
      <c r="G851" s="925">
        <v>45628</v>
      </c>
      <c r="H851" s="1793" t="s">
        <v>6333</v>
      </c>
      <c r="I851" s="331"/>
      <c r="J851" s="331"/>
      <c r="K851" s="169">
        <v>2024</v>
      </c>
      <c r="L851" s="1446">
        <v>245018</v>
      </c>
      <c r="M851" s="1446"/>
      <c r="N851" s="170" t="s">
        <v>5835</v>
      </c>
      <c r="O851" s="178" t="s">
        <v>6150</v>
      </c>
      <c r="P851" s="172" t="s">
        <v>78</v>
      </c>
      <c r="Q851" s="2019" t="s">
        <v>6564</v>
      </c>
      <c r="R851" s="173" t="s">
        <v>4827</v>
      </c>
      <c r="S851" s="2018">
        <v>1298701.05</v>
      </c>
      <c r="T851" s="582">
        <v>45448</v>
      </c>
      <c r="U851" s="176">
        <v>45450</v>
      </c>
      <c r="V851" s="177">
        <v>45464</v>
      </c>
      <c r="W851" s="105">
        <v>45448</v>
      </c>
      <c r="X851" s="178" t="s">
        <v>6241</v>
      </c>
      <c r="Y851" s="170" t="s">
        <v>69</v>
      </c>
      <c r="Z851" s="1698">
        <v>45432</v>
      </c>
      <c r="AA851" s="1412"/>
      <c r="AB851" s="338" t="s">
        <v>73</v>
      </c>
      <c r="AC851" s="8"/>
      <c r="AD851" s="4"/>
      <c r="AE851" s="4"/>
      <c r="AF851" s="32"/>
      <c r="AG851" s="34" t="s">
        <v>67</v>
      </c>
      <c r="AH851" s="112" t="s">
        <v>67</v>
      </c>
      <c r="AI851" s="112" t="s">
        <v>67</v>
      </c>
      <c r="AJ851" s="7" t="s">
        <v>67</v>
      </c>
      <c r="AK851" s="109" t="s">
        <v>67</v>
      </c>
      <c r="AL851" s="33" t="s">
        <v>6886</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62" t="s">
        <v>6150</v>
      </c>
      <c r="BG851" s="71">
        <v>45450</v>
      </c>
      <c r="BH851" s="71">
        <v>45464</v>
      </c>
      <c r="BI851" s="71">
        <v>45464</v>
      </c>
      <c r="BJ851" s="129">
        <f t="shared" si="23"/>
        <v>1378125.6</v>
      </c>
      <c r="BK851" s="66" t="s">
        <v>73</v>
      </c>
      <c r="BL851" s="1930"/>
      <c r="BM851" s="337">
        <v>45449</v>
      </c>
      <c r="BN851" s="684" t="s">
        <v>73</v>
      </c>
      <c r="BO851" s="71">
        <v>45449</v>
      </c>
      <c r="BP851" s="1420"/>
      <c r="BQ851" s="684" t="s">
        <v>73</v>
      </c>
      <c r="BR851" s="684" t="s">
        <v>73</v>
      </c>
      <c r="BS851" s="684" t="s">
        <v>73</v>
      </c>
      <c r="BT851" s="71">
        <v>45463</v>
      </c>
      <c r="BU851" s="684" t="s">
        <v>73</v>
      </c>
      <c r="BV851" s="924" t="s">
        <v>6888</v>
      </c>
      <c r="BW851" s="923"/>
      <c r="BX851" s="13"/>
      <c r="BY851" s="22"/>
      <c r="BZ851" s="22"/>
      <c r="CA851" s="22"/>
      <c r="CB851" s="22"/>
      <c r="CC851" s="22"/>
      <c r="CD851" s="22"/>
      <c r="CE851" s="1246" t="s">
        <v>3947</v>
      </c>
      <c r="CF851" s="866" t="s">
        <v>6915</v>
      </c>
    </row>
    <row r="852" spans="1:84" ht="90" hidden="1" customHeight="1">
      <c r="A852" s="1467"/>
      <c r="B852" s="814"/>
      <c r="C852" s="22"/>
      <c r="D852" s="22"/>
      <c r="E852" s="921"/>
      <c r="F852" s="921"/>
      <c r="G852" s="925">
        <v>45629</v>
      </c>
      <c r="H852" s="1793" t="s">
        <v>6333</v>
      </c>
      <c r="I852" s="331"/>
      <c r="J852" s="331"/>
      <c r="K852" s="169">
        <v>2024</v>
      </c>
      <c r="L852" s="1446">
        <v>245019</v>
      </c>
      <c r="M852" s="1446"/>
      <c r="N852" s="170" t="s">
        <v>5835</v>
      </c>
      <c r="O852" s="178" t="s">
        <v>6151</v>
      </c>
      <c r="P852" s="172" t="s">
        <v>78</v>
      </c>
      <c r="Q852" s="173" t="s">
        <v>6565</v>
      </c>
      <c r="R852" s="173" t="s">
        <v>1975</v>
      </c>
      <c r="S852" s="586">
        <v>204310.14</v>
      </c>
      <c r="T852" s="582">
        <v>45470</v>
      </c>
      <c r="U852" s="176">
        <v>45477</v>
      </c>
      <c r="V852" s="177">
        <v>45491</v>
      </c>
      <c r="W852" s="105">
        <v>45469</v>
      </c>
      <c r="X852" s="178" t="s">
        <v>4453</v>
      </c>
      <c r="Y852" s="170" t="s">
        <v>1106</v>
      </c>
      <c r="Z852" s="1698">
        <v>45464</v>
      </c>
      <c r="AA852" s="1412"/>
      <c r="AB852" s="33" t="s">
        <v>6406</v>
      </c>
      <c r="AC852" s="8">
        <v>45481</v>
      </c>
      <c r="AD852" s="4">
        <v>204310.14</v>
      </c>
      <c r="AE852" s="4"/>
      <c r="AF852" s="32"/>
      <c r="AG852" s="34" t="s">
        <v>67</v>
      </c>
      <c r="AH852" s="112" t="s">
        <v>67</v>
      </c>
      <c r="AI852" s="112" t="s">
        <v>67</v>
      </c>
      <c r="AJ852" s="7" t="s">
        <v>67</v>
      </c>
      <c r="AK852" s="109" t="s">
        <v>67</v>
      </c>
      <c r="AL852" s="33" t="s">
        <v>4558</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62" t="s">
        <v>6889</v>
      </c>
      <c r="BG852" s="71">
        <v>45477</v>
      </c>
      <c r="BH852" s="71">
        <v>45491</v>
      </c>
      <c r="BI852" s="71">
        <v>45491</v>
      </c>
      <c r="BJ852" s="129">
        <f t="shared" si="23"/>
        <v>204310.14</v>
      </c>
      <c r="BK852" s="70">
        <v>45496</v>
      </c>
      <c r="BL852" s="1931">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3947</v>
      </c>
      <c r="CF852" s="866"/>
    </row>
    <row r="853" spans="1:84" ht="69.75" hidden="1" customHeight="1">
      <c r="A853" s="1467"/>
      <c r="B853" s="814"/>
      <c r="C853" s="22"/>
      <c r="D853" s="22"/>
      <c r="E853" s="921"/>
      <c r="F853" s="921"/>
      <c r="G853" s="925">
        <v>45629</v>
      </c>
      <c r="H853" s="1793" t="s">
        <v>1404</v>
      </c>
      <c r="I853" s="331"/>
      <c r="J853" s="331"/>
      <c r="K853" s="169">
        <v>2024</v>
      </c>
      <c r="L853" s="1446">
        <v>245020</v>
      </c>
      <c r="M853" s="1446"/>
      <c r="N853" s="170" t="s">
        <v>5835</v>
      </c>
      <c r="O853" s="178" t="s">
        <v>6152</v>
      </c>
      <c r="P853" s="172" t="s">
        <v>78</v>
      </c>
      <c r="Q853" s="2019" t="s">
        <v>6566</v>
      </c>
      <c r="R853" s="173" t="s">
        <v>1975</v>
      </c>
      <c r="S853" s="2018">
        <v>1801948.36</v>
      </c>
      <c r="T853" s="582">
        <v>45468</v>
      </c>
      <c r="U853" s="176">
        <v>45470</v>
      </c>
      <c r="V853" s="177">
        <v>45548</v>
      </c>
      <c r="W853" s="105">
        <v>45467</v>
      </c>
      <c r="X853" s="178" t="s">
        <v>6241</v>
      </c>
      <c r="Y853" s="170" t="s">
        <v>69</v>
      </c>
      <c r="Z853" s="1698">
        <v>45457</v>
      </c>
      <c r="AA853" s="1412"/>
      <c r="AB853" s="33" t="s">
        <v>6407</v>
      </c>
      <c r="AC853" s="8">
        <v>45448</v>
      </c>
      <c r="AD853" s="4">
        <v>2000000</v>
      </c>
      <c r="AE853" s="4"/>
      <c r="AF853" s="32"/>
      <c r="AG853" s="34" t="s">
        <v>67</v>
      </c>
      <c r="AH853" s="112" t="s">
        <v>67</v>
      </c>
      <c r="AI853" s="112" t="s">
        <v>67</v>
      </c>
      <c r="AJ853" s="7" t="s">
        <v>67</v>
      </c>
      <c r="AK853" s="109" t="s">
        <v>67</v>
      </c>
      <c r="AL853" s="33" t="s">
        <v>6886</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62" t="s">
        <v>6890</v>
      </c>
      <c r="BG853" s="71">
        <v>45470</v>
      </c>
      <c r="BH853" s="71">
        <v>45548</v>
      </c>
      <c r="BI853" s="71">
        <v>45546</v>
      </c>
      <c r="BJ853" s="129">
        <f t="shared" si="23"/>
        <v>1936618.31</v>
      </c>
      <c r="BK853" s="66" t="s">
        <v>73</v>
      </c>
      <c r="BL853" s="1930"/>
      <c r="BM853" s="337">
        <v>45469</v>
      </c>
      <c r="BN853" s="684" t="s">
        <v>73</v>
      </c>
      <c r="BO853" s="684" t="s">
        <v>73</v>
      </c>
      <c r="BP853" s="1420"/>
      <c r="BQ853" s="684" t="s">
        <v>73</v>
      </c>
      <c r="BR853" s="684" t="s">
        <v>73</v>
      </c>
      <c r="BS853" s="684" t="s">
        <v>73</v>
      </c>
      <c r="BT853" s="684" t="s">
        <v>73</v>
      </c>
      <c r="BU853" s="684" t="s">
        <v>73</v>
      </c>
      <c r="BV853" s="924" t="s">
        <v>6888</v>
      </c>
      <c r="BW853" s="923"/>
      <c r="BX853" s="13"/>
      <c r="BY853" s="22"/>
      <c r="BZ853" s="22"/>
      <c r="CA853" s="22"/>
      <c r="CB853" s="22"/>
      <c r="CC853" s="22"/>
      <c r="CD853" s="22"/>
      <c r="CE853" s="1246" t="s">
        <v>3947</v>
      </c>
      <c r="CF853" s="866" t="s">
        <v>6915</v>
      </c>
    </row>
    <row r="854" spans="1:84" ht="85.5" hidden="1" customHeight="1">
      <c r="A854" s="1467"/>
      <c r="B854" s="814"/>
      <c r="C854" s="22"/>
      <c r="D854" s="22"/>
      <c r="E854" s="921"/>
      <c r="F854" s="921"/>
      <c r="G854" s="925">
        <v>45629</v>
      </c>
      <c r="H854" s="1793" t="s">
        <v>6333</v>
      </c>
      <c r="I854" s="331"/>
      <c r="J854" s="331"/>
      <c r="K854" s="169">
        <v>2024</v>
      </c>
      <c r="L854" s="1446">
        <v>245021</v>
      </c>
      <c r="M854" s="1446"/>
      <c r="N854" s="170" t="s">
        <v>5835</v>
      </c>
      <c r="O854" s="178" t="s">
        <v>6235</v>
      </c>
      <c r="P854" s="172" t="s">
        <v>78</v>
      </c>
      <c r="Q854" s="173" t="s">
        <v>6567</v>
      </c>
      <c r="R854" s="173" t="s">
        <v>2580</v>
      </c>
      <c r="S854" s="586">
        <v>424277.78</v>
      </c>
      <c r="T854" s="582">
        <v>45470</v>
      </c>
      <c r="U854" s="176">
        <v>45471</v>
      </c>
      <c r="V854" s="177">
        <v>45476</v>
      </c>
      <c r="W854" s="105">
        <v>45469</v>
      </c>
      <c r="X854" s="178" t="s">
        <v>4447</v>
      </c>
      <c r="Y854" s="170" t="s">
        <v>69</v>
      </c>
      <c r="Z854" s="1698">
        <v>45460</v>
      </c>
      <c r="AA854" s="1412"/>
      <c r="AB854" s="115" t="s">
        <v>6891</v>
      </c>
      <c r="AC854" s="8">
        <v>45478</v>
      </c>
      <c r="AD854" s="4">
        <v>424244.78</v>
      </c>
      <c r="AE854" s="4"/>
      <c r="AF854" s="32"/>
      <c r="AG854" s="34" t="s">
        <v>67</v>
      </c>
      <c r="AH854" s="112" t="s">
        <v>67</v>
      </c>
      <c r="AI854" s="112" t="s">
        <v>67</v>
      </c>
      <c r="AJ854" s="7" t="s">
        <v>67</v>
      </c>
      <c r="AK854" s="109" t="s">
        <v>67</v>
      </c>
      <c r="AL854" s="33" t="s">
        <v>6886</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62" t="s">
        <v>6235</v>
      </c>
      <c r="BG854" s="71">
        <v>45471</v>
      </c>
      <c r="BH854" s="71">
        <v>45476</v>
      </c>
      <c r="BI854" s="71">
        <v>45476</v>
      </c>
      <c r="BJ854" s="129">
        <f t="shared" si="23"/>
        <v>424277.78</v>
      </c>
      <c r="BK854" s="30">
        <v>45490</v>
      </c>
      <c r="BL854" s="1931">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3947</v>
      </c>
      <c r="CF854" s="866" t="s">
        <v>1142</v>
      </c>
    </row>
    <row r="855" spans="1:84" ht="102.75" hidden="1" customHeight="1">
      <c r="A855" s="1467"/>
      <c r="B855" s="814"/>
      <c r="C855" s="22"/>
      <c r="D855" s="22"/>
      <c r="E855" s="921"/>
      <c r="F855" s="921"/>
      <c r="G855" s="925">
        <v>45629</v>
      </c>
      <c r="H855" s="1793" t="s">
        <v>6333</v>
      </c>
      <c r="I855" s="331"/>
      <c r="J855" s="331"/>
      <c r="K855" s="169">
        <v>2024</v>
      </c>
      <c r="L855" s="1446">
        <v>245022</v>
      </c>
      <c r="M855" s="1446"/>
      <c r="N855" s="170" t="s">
        <v>5835</v>
      </c>
      <c r="O855" s="178" t="s">
        <v>6236</v>
      </c>
      <c r="P855" s="172" t="s">
        <v>78</v>
      </c>
      <c r="Q855" s="173" t="s">
        <v>6568</v>
      </c>
      <c r="R855" s="173" t="s">
        <v>2580</v>
      </c>
      <c r="S855" s="586">
        <v>238287.78</v>
      </c>
      <c r="T855" s="582">
        <v>45470</v>
      </c>
      <c r="U855" s="176">
        <v>45477</v>
      </c>
      <c r="V855" s="177">
        <v>45483</v>
      </c>
      <c r="W855" s="105">
        <v>45469</v>
      </c>
      <c r="X855" s="178" t="s">
        <v>4447</v>
      </c>
      <c r="Y855" s="170" t="s">
        <v>69</v>
      </c>
      <c r="Z855" s="1698">
        <v>45460</v>
      </c>
      <c r="AA855" s="1412"/>
      <c r="AB855" s="115" t="s">
        <v>6891</v>
      </c>
      <c r="AC855" s="8">
        <v>45478</v>
      </c>
      <c r="AD855" s="4">
        <v>238287.75</v>
      </c>
      <c r="AE855" s="4"/>
      <c r="AF855" s="32"/>
      <c r="AG855" s="34" t="s">
        <v>67</v>
      </c>
      <c r="AH855" s="112" t="s">
        <v>67</v>
      </c>
      <c r="AI855" s="112" t="s">
        <v>67</v>
      </c>
      <c r="AJ855" s="7" t="s">
        <v>67</v>
      </c>
      <c r="AK855" s="109" t="s">
        <v>67</v>
      </c>
      <c r="AL855" s="33" t="s">
        <v>6886</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62" t="s">
        <v>6236</v>
      </c>
      <c r="BG855" s="71">
        <v>45477</v>
      </c>
      <c r="BH855" s="71">
        <v>45484</v>
      </c>
      <c r="BI855" s="71">
        <v>45484</v>
      </c>
      <c r="BJ855" s="129">
        <f t="shared" si="23"/>
        <v>238287.74</v>
      </c>
      <c r="BK855" s="70">
        <v>45490</v>
      </c>
      <c r="BL855" s="1931">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3947</v>
      </c>
      <c r="CF855" s="866" t="s">
        <v>1142</v>
      </c>
    </row>
    <row r="856" spans="1:84" ht="99.75" hidden="1" customHeight="1">
      <c r="A856" s="1467"/>
      <c r="B856" s="814"/>
      <c r="C856" s="22"/>
      <c r="D856" s="22"/>
      <c r="E856" s="921"/>
      <c r="F856" s="921"/>
      <c r="G856" s="925">
        <v>45629</v>
      </c>
      <c r="H856" s="1793" t="s">
        <v>6333</v>
      </c>
      <c r="I856" s="331"/>
      <c r="J856" s="331"/>
      <c r="K856" s="169">
        <v>2024</v>
      </c>
      <c r="L856" s="1446">
        <v>245023</v>
      </c>
      <c r="M856" s="1446"/>
      <c r="N856" s="170" t="s">
        <v>5835</v>
      </c>
      <c r="O856" s="178" t="s">
        <v>6237</v>
      </c>
      <c r="P856" s="172" t="s">
        <v>78</v>
      </c>
      <c r="Q856" s="173" t="s">
        <v>6569</v>
      </c>
      <c r="R856" s="173" t="s">
        <v>2580</v>
      </c>
      <c r="S856" s="586">
        <v>974176.38</v>
      </c>
      <c r="T856" s="582">
        <v>45470</v>
      </c>
      <c r="U856" s="176">
        <v>45484</v>
      </c>
      <c r="V856" s="177">
        <v>45497</v>
      </c>
      <c r="W856" s="105">
        <v>45469</v>
      </c>
      <c r="X856" s="178" t="s">
        <v>4447</v>
      </c>
      <c r="Y856" s="170" t="s">
        <v>69</v>
      </c>
      <c r="Z856" s="1698">
        <v>45460</v>
      </c>
      <c r="AA856" s="1412"/>
      <c r="AB856" s="115" t="s">
        <v>6891</v>
      </c>
      <c r="AC856" s="8">
        <v>45478</v>
      </c>
      <c r="AD856" s="4">
        <v>974176.38</v>
      </c>
      <c r="AE856" s="4"/>
      <c r="AF856" s="32"/>
      <c r="AG856" s="34" t="s">
        <v>67</v>
      </c>
      <c r="AH856" s="112" t="s">
        <v>67</v>
      </c>
      <c r="AI856" s="112" t="s">
        <v>67</v>
      </c>
      <c r="AJ856" s="7" t="s">
        <v>67</v>
      </c>
      <c r="AK856" s="109" t="s">
        <v>67</v>
      </c>
      <c r="AL856" s="33" t="s">
        <v>6886</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62" t="s">
        <v>6892</v>
      </c>
      <c r="BG856" s="71">
        <v>45484</v>
      </c>
      <c r="BH856" s="71">
        <v>45497</v>
      </c>
      <c r="BI856" s="71">
        <v>45502</v>
      </c>
      <c r="BJ856" s="129">
        <f>AT856+AU856-0.01</f>
        <v>1270476.04</v>
      </c>
      <c r="BK856" s="70">
        <v>45503</v>
      </c>
      <c r="BL856" s="1931">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3947</v>
      </c>
      <c r="CF856" s="866"/>
    </row>
    <row r="857" spans="1:84" ht="83.25" hidden="1" customHeight="1">
      <c r="A857" s="1467"/>
      <c r="B857" s="814"/>
      <c r="C857" s="22"/>
      <c r="D857" s="22"/>
      <c r="E857" s="921"/>
      <c r="F857" s="921"/>
      <c r="G857" s="925">
        <v>45629</v>
      </c>
      <c r="H857" s="1793" t="s">
        <v>6333</v>
      </c>
      <c r="I857" s="331"/>
      <c r="J857" s="331"/>
      <c r="K857" s="169">
        <v>2024</v>
      </c>
      <c r="L857" s="1446">
        <v>245024</v>
      </c>
      <c r="M857" s="1446"/>
      <c r="N857" s="170" t="s">
        <v>165</v>
      </c>
      <c r="O857" s="178" t="s">
        <v>6238</v>
      </c>
      <c r="P857" s="172" t="s">
        <v>78</v>
      </c>
      <c r="Q857" s="173" t="s">
        <v>6339</v>
      </c>
      <c r="R857" s="173" t="s">
        <v>4827</v>
      </c>
      <c r="S857" s="586">
        <v>375226.36</v>
      </c>
      <c r="T857" s="582">
        <v>45485</v>
      </c>
      <c r="U857" s="176">
        <v>45495</v>
      </c>
      <c r="V857" s="177">
        <v>45513</v>
      </c>
      <c r="W857" s="105">
        <v>45484</v>
      </c>
      <c r="X857" s="178" t="s">
        <v>3963</v>
      </c>
      <c r="Y857" s="170" t="s">
        <v>1106</v>
      </c>
      <c r="Z857" s="1698">
        <v>45488</v>
      </c>
      <c r="AA857" s="369" t="s">
        <v>67</v>
      </c>
      <c r="AB857" s="115" t="s">
        <v>6385</v>
      </c>
      <c r="AC857" s="8">
        <v>45317</v>
      </c>
      <c r="AD857" s="4">
        <v>4464580.4000000004</v>
      </c>
      <c r="AE857" s="4"/>
      <c r="AF857" s="32"/>
      <c r="AG857" s="34" t="s">
        <v>67</v>
      </c>
      <c r="AH857" s="112" t="s">
        <v>67</v>
      </c>
      <c r="AI857" s="112" t="s">
        <v>67</v>
      </c>
      <c r="AJ857" s="7" t="s">
        <v>67</v>
      </c>
      <c r="AK857" s="109" t="s">
        <v>67</v>
      </c>
      <c r="AL857" s="33" t="s">
        <v>6882</v>
      </c>
      <c r="AM857" s="2" t="s">
        <v>6893</v>
      </c>
      <c r="AN857" s="5">
        <v>45495</v>
      </c>
      <c r="AO857" s="2" t="s">
        <v>6894</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62" t="s">
        <v>6238</v>
      </c>
      <c r="BG857" s="71">
        <v>45495</v>
      </c>
      <c r="BH857" s="71">
        <v>45513</v>
      </c>
      <c r="BI857" s="71">
        <v>45505</v>
      </c>
      <c r="BJ857" s="129">
        <f t="shared" si="23"/>
        <v>370354.35</v>
      </c>
      <c r="BK857" s="70">
        <v>45510</v>
      </c>
      <c r="BL857" s="1931">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3947</v>
      </c>
      <c r="CF857" s="866" t="s">
        <v>6916</v>
      </c>
    </row>
    <row r="858" spans="1:84" ht="76.5" hidden="1" customHeight="1">
      <c r="A858" s="1467"/>
      <c r="B858" s="814"/>
      <c r="C858" s="22"/>
      <c r="D858" s="22"/>
      <c r="E858" s="921"/>
      <c r="F858" s="921"/>
      <c r="G858" s="925">
        <v>45629</v>
      </c>
      <c r="H858" s="1793" t="s">
        <v>6333</v>
      </c>
      <c r="I858" s="331"/>
      <c r="J858" s="331"/>
      <c r="K858" s="169">
        <v>2024</v>
      </c>
      <c r="L858" s="1446">
        <v>245025</v>
      </c>
      <c r="M858" s="1446"/>
      <c r="N858" s="170" t="s">
        <v>165</v>
      </c>
      <c r="O858" s="178" t="s">
        <v>6239</v>
      </c>
      <c r="P858" s="172" t="s">
        <v>78</v>
      </c>
      <c r="Q858" s="173" t="s">
        <v>6340</v>
      </c>
      <c r="R858" s="173" t="s">
        <v>4827</v>
      </c>
      <c r="S858" s="586">
        <v>932099.44</v>
      </c>
      <c r="T858" s="582">
        <v>45490</v>
      </c>
      <c r="U858" s="176">
        <v>45497</v>
      </c>
      <c r="V858" s="177">
        <v>45506</v>
      </c>
      <c r="W858" s="105">
        <v>45489</v>
      </c>
      <c r="X858" s="178" t="s">
        <v>4453</v>
      </c>
      <c r="Y858" s="170" t="s">
        <v>1106</v>
      </c>
      <c r="Z858" s="1698">
        <v>45488</v>
      </c>
      <c r="AA858" s="369" t="s">
        <v>67</v>
      </c>
      <c r="AB858" s="338" t="s">
        <v>73</v>
      </c>
      <c r="AC858" s="8"/>
      <c r="AD858" s="4"/>
      <c r="AE858" s="4"/>
      <c r="AF858" s="32"/>
      <c r="AG858" s="34" t="s">
        <v>67</v>
      </c>
      <c r="AH858" s="112" t="s">
        <v>67</v>
      </c>
      <c r="AI858" s="112" t="s">
        <v>67</v>
      </c>
      <c r="AJ858" s="7" t="s">
        <v>67</v>
      </c>
      <c r="AK858" s="109" t="s">
        <v>67</v>
      </c>
      <c r="AL858" s="33" t="s">
        <v>4558</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62" t="s">
        <v>6239</v>
      </c>
      <c r="BG858" s="71">
        <v>45497</v>
      </c>
      <c r="BH858" s="71">
        <v>45506</v>
      </c>
      <c r="BI858" s="71">
        <v>45506</v>
      </c>
      <c r="BJ858" s="129">
        <f t="shared" si="23"/>
        <v>932099.44</v>
      </c>
      <c r="BK858" s="70">
        <v>45526</v>
      </c>
      <c r="BL858" s="1931">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3947</v>
      </c>
      <c r="CF858" s="866"/>
    </row>
    <row r="859" spans="1:84" ht="83.25" hidden="1" customHeight="1">
      <c r="A859" s="1467"/>
      <c r="B859" s="814"/>
      <c r="C859" s="22"/>
      <c r="D859" s="22"/>
      <c r="E859" s="921"/>
      <c r="F859" s="921"/>
      <c r="G859" s="925">
        <v>45629</v>
      </c>
      <c r="H859" s="1793" t="s">
        <v>6333</v>
      </c>
      <c r="I859" s="331"/>
      <c r="J859" s="331"/>
      <c r="K859" s="169">
        <v>2024</v>
      </c>
      <c r="L859" s="1446">
        <v>245026</v>
      </c>
      <c r="M859" s="1446"/>
      <c r="N859" s="170" t="s">
        <v>165</v>
      </c>
      <c r="O859" s="178" t="s">
        <v>6334</v>
      </c>
      <c r="P859" s="172" t="s">
        <v>78</v>
      </c>
      <c r="Q859" s="173" t="s">
        <v>6341</v>
      </c>
      <c r="R859" s="173" t="s">
        <v>1975</v>
      </c>
      <c r="S859" s="586">
        <v>759205.81</v>
      </c>
      <c r="T859" s="582">
        <v>45497</v>
      </c>
      <c r="U859" s="176">
        <v>45502</v>
      </c>
      <c r="V859" s="177">
        <v>45535</v>
      </c>
      <c r="W859" s="105">
        <v>45496</v>
      </c>
      <c r="X859" s="178" t="s">
        <v>6358</v>
      </c>
      <c r="Y859" s="170" t="s">
        <v>1106</v>
      </c>
      <c r="Z859" s="1698">
        <v>45446</v>
      </c>
      <c r="AA859" s="369" t="s">
        <v>67</v>
      </c>
      <c r="AB859" s="33" t="s">
        <v>6392</v>
      </c>
      <c r="AC859" s="8">
        <v>45495</v>
      </c>
      <c r="AD859" s="4">
        <v>759205.81</v>
      </c>
      <c r="AE859" s="4"/>
      <c r="AF859" s="32"/>
      <c r="AG859" s="34" t="s">
        <v>67</v>
      </c>
      <c r="AH859" s="112" t="s">
        <v>67</v>
      </c>
      <c r="AI859" s="112" t="s">
        <v>67</v>
      </c>
      <c r="AJ859" s="7" t="s">
        <v>67</v>
      </c>
      <c r="AK859" s="109" t="s">
        <v>67</v>
      </c>
      <c r="AL859" s="33" t="s">
        <v>6896</v>
      </c>
      <c r="AM859" s="2" t="s">
        <v>67</v>
      </c>
      <c r="AN859" s="5"/>
      <c r="AO859" s="2" t="s">
        <v>6897</v>
      </c>
      <c r="AP859" s="239">
        <v>45497</v>
      </c>
      <c r="AQ859" s="2" t="s">
        <v>6898</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62" t="s">
        <v>6334</v>
      </c>
      <c r="BG859" s="71">
        <v>45523</v>
      </c>
      <c r="BH859" s="71">
        <v>45555</v>
      </c>
      <c r="BI859" s="71">
        <v>45553</v>
      </c>
      <c r="BJ859" s="129">
        <f t="shared" si="23"/>
        <v>763292.06</v>
      </c>
      <c r="BK859" s="70">
        <v>45555</v>
      </c>
      <c r="BL859" s="1931">
        <v>45920</v>
      </c>
      <c r="BM859" s="1121" t="s">
        <v>73</v>
      </c>
      <c r="BN859" s="71">
        <v>45553</v>
      </c>
      <c r="BO859" s="71">
        <v>45522</v>
      </c>
      <c r="BP859" s="924"/>
      <c r="BQ859" s="924">
        <v>45522</v>
      </c>
      <c r="BR859" s="924">
        <v>45522</v>
      </c>
      <c r="BS859" s="924">
        <v>45522</v>
      </c>
      <c r="BT859" s="924">
        <v>45553</v>
      </c>
      <c r="BU859" s="924">
        <v>45554</v>
      </c>
      <c r="BV859" s="924" t="s">
        <v>6888</v>
      </c>
      <c r="BW859" s="923"/>
      <c r="BX859" s="13"/>
      <c r="BY859" s="22"/>
      <c r="BZ859" s="22"/>
      <c r="CA859" s="22"/>
      <c r="CB859" s="22"/>
      <c r="CC859" s="22"/>
      <c r="CD859" s="22"/>
      <c r="CE859" s="1246" t="s">
        <v>3947</v>
      </c>
      <c r="CF859" s="866" t="s">
        <v>6915</v>
      </c>
    </row>
    <row r="860" spans="1:84" ht="74.25" hidden="1" customHeight="1">
      <c r="A860" s="1467"/>
      <c r="B860" s="814"/>
      <c r="C860" s="22"/>
      <c r="D860" s="22"/>
      <c r="E860" s="921"/>
      <c r="F860" s="921"/>
      <c r="G860" s="925">
        <v>45631</v>
      </c>
      <c r="H860" s="1793" t="s">
        <v>6333</v>
      </c>
      <c r="I860" s="331"/>
      <c r="J860" s="331"/>
      <c r="K860" s="169">
        <v>2024</v>
      </c>
      <c r="L860" s="1446">
        <v>245027</v>
      </c>
      <c r="M860" s="1446"/>
      <c r="N860" s="170" t="s">
        <v>5835</v>
      </c>
      <c r="O860" s="178" t="s">
        <v>6335</v>
      </c>
      <c r="P860" s="172" t="s">
        <v>78</v>
      </c>
      <c r="Q860" s="173" t="s">
        <v>6578</v>
      </c>
      <c r="R860" s="173" t="s">
        <v>2541</v>
      </c>
      <c r="S860" s="1196">
        <v>779373.61</v>
      </c>
      <c r="T860" s="175">
        <v>45507</v>
      </c>
      <c r="U860" s="176">
        <v>45510</v>
      </c>
      <c r="V860" s="177">
        <v>45527</v>
      </c>
      <c r="W860" s="105">
        <v>45506</v>
      </c>
      <c r="X860" s="178" t="s">
        <v>4453</v>
      </c>
      <c r="Y860" s="170" t="s">
        <v>69</v>
      </c>
      <c r="Z860" s="1698">
        <v>45497</v>
      </c>
      <c r="AA860" s="1412"/>
      <c r="AB860" s="115" t="s">
        <v>6910</v>
      </c>
      <c r="AC860" s="8">
        <v>45499</v>
      </c>
      <c r="AD860" s="4">
        <v>807934.55</v>
      </c>
      <c r="AE860" s="4"/>
      <c r="AF860" s="32"/>
      <c r="AG860" s="34" t="s">
        <v>67</v>
      </c>
      <c r="AH860" s="112" t="s">
        <v>67</v>
      </c>
      <c r="AI860" s="112" t="s">
        <v>67</v>
      </c>
      <c r="AJ860" s="7" t="s">
        <v>67</v>
      </c>
      <c r="AK860" s="109" t="s">
        <v>67</v>
      </c>
      <c r="AL860" s="33" t="s">
        <v>4558</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62" t="s">
        <v>6911</v>
      </c>
      <c r="BG860" s="71">
        <v>45445</v>
      </c>
      <c r="BH860" s="71">
        <v>45527</v>
      </c>
      <c r="BI860" s="71">
        <v>45527</v>
      </c>
      <c r="BJ860" s="129">
        <f t="shared" si="23"/>
        <v>779373.61</v>
      </c>
      <c r="BK860" s="70">
        <v>45530</v>
      </c>
      <c r="BL860" s="1931">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3947</v>
      </c>
      <c r="CF860" s="866"/>
    </row>
    <row r="861" spans="1:84" ht="103.5" hidden="1" customHeight="1">
      <c r="A861" s="1467"/>
      <c r="B861" s="814"/>
      <c r="C861" s="22"/>
      <c r="D861" s="22"/>
      <c r="E861" s="921"/>
      <c r="F861" s="921"/>
      <c r="G861" s="925">
        <v>45631</v>
      </c>
      <c r="H861" s="1793" t="s">
        <v>6333</v>
      </c>
      <c r="I861" s="331"/>
      <c r="J861" s="331"/>
      <c r="K861" s="169">
        <v>2024</v>
      </c>
      <c r="L861" s="1446">
        <v>245028</v>
      </c>
      <c r="M861" s="1446"/>
      <c r="N861" s="170" t="s">
        <v>5835</v>
      </c>
      <c r="O861" s="178" t="s">
        <v>6336</v>
      </c>
      <c r="P861" s="172" t="s">
        <v>78</v>
      </c>
      <c r="Q861" s="173" t="s">
        <v>6342</v>
      </c>
      <c r="R861" s="173" t="s">
        <v>2580</v>
      </c>
      <c r="S861" s="586">
        <v>1025125.64</v>
      </c>
      <c r="T861" s="582"/>
      <c r="U861" s="176">
        <v>45516</v>
      </c>
      <c r="V861" s="177">
        <v>45526</v>
      </c>
      <c r="W861" s="105">
        <v>45511</v>
      </c>
      <c r="X861" s="178" t="s">
        <v>3963</v>
      </c>
      <c r="Y861" s="170" t="s">
        <v>1106</v>
      </c>
      <c r="Z861" s="1698">
        <v>45505</v>
      </c>
      <c r="AA861" s="1412"/>
      <c r="AB861" s="115" t="s">
        <v>6912</v>
      </c>
      <c r="AC861" s="8">
        <v>45432</v>
      </c>
      <c r="AD861" s="4">
        <f>1500000+250000</f>
        <v>1750000</v>
      </c>
      <c r="AE861" s="4"/>
      <c r="AF861" s="32"/>
      <c r="AG861" s="34" t="s">
        <v>67</v>
      </c>
      <c r="AH861" s="112" t="s">
        <v>67</v>
      </c>
      <c r="AI861" s="112" t="s">
        <v>67</v>
      </c>
      <c r="AJ861" s="7" t="s">
        <v>67</v>
      </c>
      <c r="AK861" s="109" t="s">
        <v>67</v>
      </c>
      <c r="AL861" s="33" t="s">
        <v>6882</v>
      </c>
      <c r="AM861" s="2" t="s">
        <v>6913</v>
      </c>
      <c r="AN861" s="5">
        <v>45481</v>
      </c>
      <c r="AO861" s="2" t="s">
        <v>6914</v>
      </c>
      <c r="AP861" s="239">
        <v>45481</v>
      </c>
      <c r="AQ861" s="2" t="s">
        <v>82</v>
      </c>
      <c r="AR861" s="5"/>
      <c r="AS861" s="280">
        <f>307537.69+102512.56</f>
        <v>410050.25</v>
      </c>
      <c r="AT861" s="35">
        <v>0</v>
      </c>
      <c r="AU861" s="905">
        <v>1064619</v>
      </c>
      <c r="AV861" s="901"/>
      <c r="AW861" s="231"/>
      <c r="AX861" s="11"/>
      <c r="AY861" s="224"/>
      <c r="AZ861" s="52"/>
      <c r="BA861" s="247" t="s">
        <v>73</v>
      </c>
      <c r="BB861" s="5"/>
      <c r="BC861" s="5"/>
      <c r="BD861" s="11"/>
      <c r="BE861" s="247" t="s">
        <v>73</v>
      </c>
      <c r="BF861" s="538"/>
      <c r="BG861" s="5"/>
      <c r="BH861" s="5"/>
      <c r="BI861" s="5"/>
      <c r="BJ861" s="246">
        <f t="shared" si="23"/>
        <v>1064619</v>
      </c>
      <c r="BK861" s="247" t="s">
        <v>73</v>
      </c>
      <c r="BL861" s="1930"/>
      <c r="BM861" s="1121" t="s">
        <v>73</v>
      </c>
      <c r="BN861" s="71">
        <v>45516</v>
      </c>
      <c r="BO861" s="71">
        <v>45516</v>
      </c>
      <c r="BP861" s="924"/>
      <c r="BQ861" s="924">
        <v>45516</v>
      </c>
      <c r="BR861" s="924">
        <v>45516</v>
      </c>
      <c r="BS861" s="924">
        <v>45516</v>
      </c>
      <c r="BT861" s="1289" t="s">
        <v>73</v>
      </c>
      <c r="BU861" s="684" t="s">
        <v>73</v>
      </c>
      <c r="BV861" s="1421"/>
      <c r="BW861" s="923"/>
      <c r="BX861" s="13"/>
      <c r="BY861" s="22"/>
      <c r="BZ861" s="22"/>
      <c r="CA861" s="22"/>
      <c r="CB861" s="22"/>
      <c r="CC861" s="22"/>
      <c r="CD861" s="22"/>
      <c r="CE861" s="1246" t="s">
        <v>3947</v>
      </c>
      <c r="CF861" s="866" t="s">
        <v>6915</v>
      </c>
    </row>
    <row r="862" spans="1:84" ht="106.5" hidden="1" customHeight="1">
      <c r="A862" s="1467"/>
      <c r="B862" s="814"/>
      <c r="C862" s="22"/>
      <c r="D862" s="22"/>
      <c r="E862" s="921"/>
      <c r="F862" s="921"/>
      <c r="G862" s="925">
        <v>45631</v>
      </c>
      <c r="H862" s="1793" t="s">
        <v>6333</v>
      </c>
      <c r="I862" s="331"/>
      <c r="J862" s="331"/>
      <c r="K862" s="169">
        <v>2024</v>
      </c>
      <c r="L862" s="1446">
        <v>245029</v>
      </c>
      <c r="M862" s="1446"/>
      <c r="N862" s="170" t="s">
        <v>165</v>
      </c>
      <c r="O862" s="178" t="s">
        <v>6337</v>
      </c>
      <c r="P862" s="172" t="s">
        <v>78</v>
      </c>
      <c r="Q862" s="173" t="s">
        <v>6354</v>
      </c>
      <c r="R862" s="173" t="s">
        <v>1975</v>
      </c>
      <c r="S862" s="1196">
        <v>347680.34</v>
      </c>
      <c r="T862" s="175">
        <v>45531</v>
      </c>
      <c r="U862" s="176">
        <v>45535</v>
      </c>
      <c r="V862" s="177">
        <v>45551</v>
      </c>
      <c r="W862" s="105">
        <v>45530</v>
      </c>
      <c r="X862" s="178" t="s">
        <v>6355</v>
      </c>
      <c r="Y862" s="170" t="s">
        <v>212</v>
      </c>
      <c r="Z862" s="1698">
        <v>45523</v>
      </c>
      <c r="AA862" s="369" t="s">
        <v>67</v>
      </c>
      <c r="AB862" s="33" t="s">
        <v>6393</v>
      </c>
      <c r="AC862" s="8">
        <v>45513</v>
      </c>
      <c r="AD862" s="4">
        <v>347680.34</v>
      </c>
      <c r="AE862" s="4"/>
      <c r="AF862" s="32"/>
      <c r="AG862" s="34" t="s">
        <v>67</v>
      </c>
      <c r="AH862" s="112" t="s">
        <v>67</v>
      </c>
      <c r="AI862" s="112" t="s">
        <v>67</v>
      </c>
      <c r="AJ862" s="7" t="s">
        <v>67</v>
      </c>
      <c r="AK862" s="109" t="s">
        <v>67</v>
      </c>
      <c r="AL862" s="33" t="s">
        <v>6886</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62" t="s">
        <v>6917</v>
      </c>
      <c r="BG862" s="71">
        <v>45535</v>
      </c>
      <c r="BH862" s="71">
        <v>45554</v>
      </c>
      <c r="BI862" s="71">
        <v>45548</v>
      </c>
      <c r="BJ862" s="129">
        <f t="shared" si="23"/>
        <v>347680.34</v>
      </c>
      <c r="BK862" s="70">
        <v>45552</v>
      </c>
      <c r="BL862" s="1931">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3947</v>
      </c>
      <c r="CF862" s="866"/>
    </row>
    <row r="863" spans="1:84" ht="83.25" hidden="1" customHeight="1">
      <c r="A863" s="1467"/>
      <c r="B863" s="814"/>
      <c r="C863" s="22"/>
      <c r="D863" s="22"/>
      <c r="E863" s="921"/>
      <c r="F863" s="921"/>
      <c r="G863" s="925">
        <v>45632</v>
      </c>
      <c r="H863" s="1793" t="s">
        <v>6333</v>
      </c>
      <c r="I863" s="331"/>
      <c r="J863" s="331"/>
      <c r="K863" s="169">
        <v>2024</v>
      </c>
      <c r="L863" s="1446">
        <v>245030</v>
      </c>
      <c r="M863" s="1446"/>
      <c r="N863" s="170" t="s">
        <v>165</v>
      </c>
      <c r="O863" s="178" t="s">
        <v>6338</v>
      </c>
      <c r="P863" s="172" t="s">
        <v>78</v>
      </c>
      <c r="Q863" s="173" t="s">
        <v>6363</v>
      </c>
      <c r="R863" s="173" t="s">
        <v>4412</v>
      </c>
      <c r="S863" s="1196">
        <v>215269.78</v>
      </c>
      <c r="T863" s="175">
        <v>45532</v>
      </c>
      <c r="U863" s="176">
        <v>45534</v>
      </c>
      <c r="V863" s="177">
        <v>45548</v>
      </c>
      <c r="W863" s="105">
        <v>45531</v>
      </c>
      <c r="X863" s="178" t="s">
        <v>6964</v>
      </c>
      <c r="Y863" s="170" t="s">
        <v>212</v>
      </c>
      <c r="Z863" s="1698">
        <v>45524</v>
      </c>
      <c r="AA863" s="369" t="s">
        <v>67</v>
      </c>
      <c r="AB863" s="33" t="s">
        <v>6394</v>
      </c>
      <c r="AC863" s="8">
        <v>45495</v>
      </c>
      <c r="AD863" s="4">
        <v>132460.4</v>
      </c>
      <c r="AE863" s="4"/>
      <c r="AF863" s="32"/>
      <c r="AG863" s="34" t="s">
        <v>67</v>
      </c>
      <c r="AH863" s="112" t="s">
        <v>67</v>
      </c>
      <c r="AI863" s="112" t="s">
        <v>67</v>
      </c>
      <c r="AJ863" s="7" t="s">
        <v>67</v>
      </c>
      <c r="AK863" s="109" t="s">
        <v>67</v>
      </c>
      <c r="AL863" s="33" t="s">
        <v>6872</v>
      </c>
      <c r="AM863" s="2" t="s">
        <v>67</v>
      </c>
      <c r="AN863" s="5"/>
      <c r="AO863" s="2" t="s">
        <v>6918</v>
      </c>
      <c r="AP863" s="239">
        <v>45532</v>
      </c>
      <c r="AQ863" s="2" t="s">
        <v>6919</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6338</v>
      </c>
      <c r="BG863" s="5">
        <v>45534</v>
      </c>
      <c r="BH863" s="5">
        <v>45548</v>
      </c>
      <c r="BI863" s="5">
        <v>45548</v>
      </c>
      <c r="BJ863" s="246">
        <f t="shared" si="23"/>
        <v>215269.78</v>
      </c>
      <c r="BK863" s="30">
        <v>45558</v>
      </c>
      <c r="BL863" s="1931">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3947</v>
      </c>
      <c r="CF863" s="866"/>
    </row>
    <row r="864" spans="1:84" ht="69" hidden="1" customHeight="1">
      <c r="A864" s="1467"/>
      <c r="B864" s="814"/>
      <c r="C864" s="22"/>
      <c r="D864" s="22"/>
      <c r="E864" s="921"/>
      <c r="F864" s="921"/>
      <c r="G864" s="925"/>
      <c r="H864" s="1793" t="s">
        <v>6333</v>
      </c>
      <c r="I864" s="331"/>
      <c r="J864" s="331"/>
      <c r="K864" s="169">
        <v>2024</v>
      </c>
      <c r="L864" s="1446">
        <v>245031</v>
      </c>
      <c r="M864" s="1446"/>
      <c r="N864" s="170" t="s">
        <v>165</v>
      </c>
      <c r="O864" s="178" t="s">
        <v>6347</v>
      </c>
      <c r="P864" s="172" t="s">
        <v>78</v>
      </c>
      <c r="Q864" s="173" t="s">
        <v>6364</v>
      </c>
      <c r="R864" s="173" t="s">
        <v>2541</v>
      </c>
      <c r="S864" s="586">
        <v>672254.43</v>
      </c>
      <c r="T864" s="582">
        <v>45532</v>
      </c>
      <c r="U864" s="176">
        <v>45533</v>
      </c>
      <c r="V864" s="177">
        <v>45562</v>
      </c>
      <c r="W864" s="105">
        <v>45531</v>
      </c>
      <c r="X864" s="178" t="s">
        <v>4453</v>
      </c>
      <c r="Y864" s="170" t="s">
        <v>1106</v>
      </c>
      <c r="Z864" s="1698">
        <v>45524</v>
      </c>
      <c r="AA864" s="369" t="s">
        <v>67</v>
      </c>
      <c r="AB864" s="115" t="s">
        <v>6947</v>
      </c>
      <c r="AC864" s="8">
        <v>45495</v>
      </c>
      <c r="AD864" s="4">
        <v>672428.45</v>
      </c>
      <c r="AE864" s="4"/>
      <c r="AF864" s="32"/>
      <c r="AG864" s="34" t="s">
        <v>67</v>
      </c>
      <c r="AH864" s="112" t="s">
        <v>67</v>
      </c>
      <c r="AI864" s="112" t="s">
        <v>67</v>
      </c>
      <c r="AJ864" s="7" t="s">
        <v>67</v>
      </c>
      <c r="AK864" s="109" t="s">
        <v>67</v>
      </c>
      <c r="AL864" s="33" t="s">
        <v>4558</v>
      </c>
      <c r="AM864" s="2">
        <v>2296990</v>
      </c>
      <c r="AN864" s="5">
        <v>45532</v>
      </c>
      <c r="AO864" s="511" t="s">
        <v>73</v>
      </c>
      <c r="AP864" s="239"/>
      <c r="AQ864" s="2">
        <v>2299257</v>
      </c>
      <c r="AR864" s="5">
        <v>45546</v>
      </c>
      <c r="AS864" s="280">
        <f>201676.33+67225.44</f>
        <v>268901.77</v>
      </c>
      <c r="AT864" s="35">
        <v>0</v>
      </c>
      <c r="AU864" s="905">
        <v>672254.42</v>
      </c>
      <c r="AV864" s="901"/>
      <c r="AW864" s="231"/>
      <c r="AX864" s="11"/>
      <c r="AY864" s="224"/>
      <c r="AZ864" s="52"/>
      <c r="BA864" s="30">
        <v>45546</v>
      </c>
      <c r="BB864" s="5">
        <v>45533</v>
      </c>
      <c r="BC864" s="5">
        <v>45562</v>
      </c>
      <c r="BD864" s="11">
        <v>45545</v>
      </c>
      <c r="BE864" s="30">
        <v>45546</v>
      </c>
      <c r="BF864" s="202" t="s">
        <v>6347</v>
      </c>
      <c r="BG864" s="5">
        <v>45533</v>
      </c>
      <c r="BH864" s="5">
        <v>45562</v>
      </c>
      <c r="BI864" s="5">
        <v>45545</v>
      </c>
      <c r="BJ864" s="129">
        <f>AT864+AU864+0.01</f>
        <v>672254.43</v>
      </c>
      <c r="BK864" s="231" t="s">
        <v>73</v>
      </c>
      <c r="BL864" s="1930"/>
      <c r="BM864" s="337">
        <v>45532</v>
      </c>
      <c r="BN864" s="71">
        <v>45896</v>
      </c>
      <c r="BO864" s="71">
        <v>45898</v>
      </c>
      <c r="BP864" s="924"/>
      <c r="BQ864" s="924">
        <v>45896</v>
      </c>
      <c r="BR864" s="924">
        <v>45896</v>
      </c>
      <c r="BS864" s="924">
        <v>45896</v>
      </c>
      <c r="BT864" s="924">
        <v>45911</v>
      </c>
      <c r="BU864" s="1420" t="s">
        <v>73</v>
      </c>
      <c r="BV864" s="1421"/>
      <c r="BW864" s="923"/>
      <c r="BX864" s="13"/>
      <c r="BY864" s="22"/>
      <c r="BZ864" s="22"/>
      <c r="CA864" s="22"/>
      <c r="CB864" s="22"/>
      <c r="CC864" s="22"/>
      <c r="CD864" s="22"/>
      <c r="CE864" s="1246" t="s">
        <v>3947</v>
      </c>
      <c r="CF864" s="866"/>
    </row>
    <row r="865" spans="1:84" ht="45" hidden="1" customHeight="1">
      <c r="B865" s="22"/>
      <c r="C865" s="22"/>
      <c r="D865" s="22"/>
      <c r="E865" s="921"/>
      <c r="F865" s="921"/>
      <c r="G865" s="925"/>
      <c r="H865" s="1793" t="s">
        <v>6895</v>
      </c>
      <c r="I865" s="331"/>
      <c r="J865" s="331"/>
      <c r="K865" s="169">
        <v>2024</v>
      </c>
      <c r="L865" s="1446">
        <v>245032</v>
      </c>
      <c r="M865" s="1446"/>
      <c r="N865" s="170"/>
      <c r="O865" s="178" t="s">
        <v>6348</v>
      </c>
      <c r="P865" s="172" t="s">
        <v>250</v>
      </c>
      <c r="Q865" s="1215" t="s">
        <v>250</v>
      </c>
      <c r="R865" s="173"/>
      <c r="S865" s="1717"/>
      <c r="T865" s="175"/>
      <c r="U865" s="176"/>
      <c r="V865" s="177"/>
      <c r="W865" s="105"/>
      <c r="X865" s="178" t="s">
        <v>67</v>
      </c>
      <c r="Y865" s="930"/>
      <c r="Z865" s="1728"/>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3947</v>
      </c>
      <c r="CF865" s="866"/>
    </row>
    <row r="866" spans="1:84" ht="61.5" hidden="1" customHeight="1">
      <c r="A866" s="1467"/>
      <c r="B866" s="814"/>
      <c r="C866" s="22"/>
      <c r="D866" s="22"/>
      <c r="E866" s="921"/>
      <c r="F866" s="921"/>
      <c r="G866" s="925"/>
      <c r="H866" s="1793" t="s">
        <v>6333</v>
      </c>
      <c r="I866" s="331"/>
      <c r="J866" s="331"/>
      <c r="K866" s="169">
        <v>2024</v>
      </c>
      <c r="L866" s="1446">
        <v>245033</v>
      </c>
      <c r="M866" s="1446"/>
      <c r="N866" s="170" t="s">
        <v>165</v>
      </c>
      <c r="O866" s="178" t="s">
        <v>6349</v>
      </c>
      <c r="P866" s="172" t="s">
        <v>78</v>
      </c>
      <c r="Q866" s="173" t="s">
        <v>6365</v>
      </c>
      <c r="R866" s="173" t="s">
        <v>4413</v>
      </c>
      <c r="S866" s="586">
        <v>299463.51</v>
      </c>
      <c r="T866" s="582">
        <v>45532</v>
      </c>
      <c r="U866" s="176">
        <v>45536</v>
      </c>
      <c r="V866" s="177">
        <v>45540</v>
      </c>
      <c r="W866" s="105">
        <v>45531</v>
      </c>
      <c r="X866" s="178" t="s">
        <v>4447</v>
      </c>
      <c r="Y866" s="170" t="s">
        <v>6361</v>
      </c>
      <c r="Z866" s="1698">
        <v>45531</v>
      </c>
      <c r="AA866" s="369" t="s">
        <v>67</v>
      </c>
      <c r="AB866" s="115" t="s">
        <v>6948</v>
      </c>
      <c r="AC866" s="8">
        <v>45531</v>
      </c>
      <c r="AD866" s="4">
        <v>299463.51</v>
      </c>
      <c r="AE866" s="4"/>
      <c r="AF866" s="32"/>
      <c r="AG866" s="34" t="s">
        <v>67</v>
      </c>
      <c r="AH866" s="112" t="s">
        <v>67</v>
      </c>
      <c r="AI866" s="112" t="s">
        <v>67</v>
      </c>
      <c r="AJ866" s="7" t="s">
        <v>67</v>
      </c>
      <c r="AK866" s="109" t="s">
        <v>67</v>
      </c>
      <c r="AL866" s="33" t="s">
        <v>5813</v>
      </c>
      <c r="AM866" s="2" t="s">
        <v>67</v>
      </c>
      <c r="AN866" s="5"/>
      <c r="AO866" s="2" t="s">
        <v>6949</v>
      </c>
      <c r="AP866" s="5">
        <v>45532</v>
      </c>
      <c r="AQ866" s="2" t="s">
        <v>6950</v>
      </c>
      <c r="AR866" s="5">
        <v>45541</v>
      </c>
      <c r="AS866" s="280">
        <f>29946.35+29946.35</f>
        <v>59892.7</v>
      </c>
      <c r="AT866" s="35">
        <v>0</v>
      </c>
      <c r="AU866" s="912"/>
      <c r="AV866" s="901"/>
      <c r="AW866" s="231"/>
      <c r="AX866" s="11"/>
      <c r="AY866" s="224"/>
      <c r="AZ866" s="52"/>
      <c r="BA866" s="30">
        <v>45541</v>
      </c>
      <c r="BB866" s="5">
        <v>45536</v>
      </c>
      <c r="BC866" s="5">
        <v>45540</v>
      </c>
      <c r="BD866" s="11">
        <v>45540</v>
      </c>
      <c r="BE866" s="30">
        <v>45541</v>
      </c>
      <c r="BF866" s="202" t="s">
        <v>6349</v>
      </c>
      <c r="BG866" s="5">
        <v>45536</v>
      </c>
      <c r="BH866" s="5">
        <v>45540</v>
      </c>
      <c r="BI866" s="5">
        <v>45540</v>
      </c>
      <c r="BJ866" s="246">
        <v>299463.51</v>
      </c>
      <c r="BK866" s="30">
        <v>45541</v>
      </c>
      <c r="BL866" s="1931">
        <v>45906</v>
      </c>
      <c r="BM866" s="337">
        <v>45534</v>
      </c>
      <c r="BN866" s="71">
        <v>45536</v>
      </c>
      <c r="BO866" s="71">
        <v>45536</v>
      </c>
      <c r="BP866" s="924"/>
      <c r="BQ866" s="924">
        <v>45536</v>
      </c>
      <c r="BR866" s="924">
        <v>45536</v>
      </c>
      <c r="BS866" s="924">
        <v>45536</v>
      </c>
      <c r="BT866" s="924">
        <v>45540</v>
      </c>
      <c r="BU866" s="924">
        <v>45541</v>
      </c>
      <c r="BV866" s="1421"/>
      <c r="BW866" s="923"/>
      <c r="BX866" s="13" t="s">
        <v>6963</v>
      </c>
      <c r="BY866" s="22"/>
      <c r="BZ866" s="22"/>
      <c r="CA866" s="22"/>
      <c r="CB866" s="22"/>
      <c r="CC866" s="22"/>
      <c r="CD866" s="22"/>
      <c r="CE866" s="1246" t="s">
        <v>3947</v>
      </c>
      <c r="CF866" s="866"/>
    </row>
    <row r="867" spans="1:84" ht="78.75" hidden="1" customHeight="1">
      <c r="A867" s="1467"/>
      <c r="B867" s="814"/>
      <c r="C867" s="22"/>
      <c r="D867" s="22"/>
      <c r="E867" s="921"/>
      <c r="F867" s="921"/>
      <c r="G867" s="925"/>
      <c r="H867" s="1793" t="s">
        <v>6333</v>
      </c>
      <c r="I867" s="331"/>
      <c r="J867" s="331"/>
      <c r="K867" s="169">
        <v>2024</v>
      </c>
      <c r="L867" s="1446">
        <v>245034</v>
      </c>
      <c r="M867" s="1446"/>
      <c r="N867" s="170" t="s">
        <v>165</v>
      </c>
      <c r="O867" s="178" t="s">
        <v>6350</v>
      </c>
      <c r="P867" s="172" t="s">
        <v>78</v>
      </c>
      <c r="Q867" s="173" t="s">
        <v>6362</v>
      </c>
      <c r="R867" s="173" t="s">
        <v>1975</v>
      </c>
      <c r="S867" s="1196">
        <v>109760.7</v>
      </c>
      <c r="T867" s="175">
        <v>45531</v>
      </c>
      <c r="U867" s="176">
        <v>45537</v>
      </c>
      <c r="V867" s="177">
        <v>45555</v>
      </c>
      <c r="W867" s="105">
        <v>45531</v>
      </c>
      <c r="X867" s="178" t="s">
        <v>4365</v>
      </c>
      <c r="Y867" s="170" t="s">
        <v>212</v>
      </c>
      <c r="Z867" s="1698">
        <v>45523</v>
      </c>
      <c r="AA867" s="369" t="s">
        <v>67</v>
      </c>
      <c r="AB867" s="115" t="s">
        <v>6951</v>
      </c>
      <c r="AC867" s="8">
        <v>45523</v>
      </c>
      <c r="AD867" s="4">
        <v>109760.7</v>
      </c>
      <c r="AE867" s="4"/>
      <c r="AF867" s="32"/>
      <c r="AG867" s="34" t="s">
        <v>67</v>
      </c>
      <c r="AH867" s="112" t="s">
        <v>67</v>
      </c>
      <c r="AI867" s="112" t="s">
        <v>67</v>
      </c>
      <c r="AJ867" s="7" t="s">
        <v>67</v>
      </c>
      <c r="AK867" s="109" t="s">
        <v>67</v>
      </c>
      <c r="AL867" s="33" t="s">
        <v>3923</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6952</v>
      </c>
      <c r="BG867" s="5">
        <v>45537</v>
      </c>
      <c r="BH867" s="5">
        <v>45555</v>
      </c>
      <c r="BI867" s="5">
        <v>45555</v>
      </c>
      <c r="BJ867" s="129">
        <f>AT867+AU867</f>
        <v>109287.59</v>
      </c>
      <c r="BK867" s="30">
        <v>45558</v>
      </c>
      <c r="BL867" s="1931">
        <v>45923</v>
      </c>
      <c r="BM867" s="1121" t="s">
        <v>73</v>
      </c>
      <c r="BN867" s="684" t="s">
        <v>73</v>
      </c>
      <c r="BO867" s="684" t="s">
        <v>73</v>
      </c>
      <c r="BP867" s="1289"/>
      <c r="BQ867" s="1289" t="s">
        <v>73</v>
      </c>
      <c r="BR867" s="1289" t="s">
        <v>73</v>
      </c>
      <c r="BS867" s="1289" t="s">
        <v>73</v>
      </c>
      <c r="BT867" s="1289" t="s">
        <v>73</v>
      </c>
      <c r="BU867" s="1289" t="s">
        <v>73</v>
      </c>
      <c r="BV867" s="1421"/>
      <c r="BW867" s="923"/>
      <c r="BX867" s="1898" t="s">
        <v>6378</v>
      </c>
      <c r="BY867" s="22"/>
      <c r="BZ867" s="22"/>
      <c r="CA867" s="22"/>
      <c r="CB867" s="22"/>
      <c r="CC867" s="22"/>
      <c r="CD867" s="22"/>
      <c r="CE867" s="1246" t="s">
        <v>3947</v>
      </c>
      <c r="CF867" s="866"/>
    </row>
    <row r="868" spans="1:84" ht="87" hidden="1" customHeight="1">
      <c r="A868" s="1467"/>
      <c r="B868" s="814"/>
      <c r="C868" s="22"/>
      <c r="D868" s="22"/>
      <c r="E868" s="921"/>
      <c r="F868" s="921"/>
      <c r="G868" s="925"/>
      <c r="H868" s="1793" t="s">
        <v>6333</v>
      </c>
      <c r="I868" s="331"/>
      <c r="J868" s="331"/>
      <c r="K868" s="169">
        <v>2024</v>
      </c>
      <c r="L868" s="1446">
        <v>245035</v>
      </c>
      <c r="M868" s="1446"/>
      <c r="N868" s="170" t="s">
        <v>165</v>
      </c>
      <c r="O868" s="178" t="s">
        <v>6351</v>
      </c>
      <c r="P868" s="172" t="s">
        <v>78</v>
      </c>
      <c r="Q868" s="2019" t="s">
        <v>6366</v>
      </c>
      <c r="R868" s="173" t="s">
        <v>1975</v>
      </c>
      <c r="S868" s="2018">
        <v>1641205.93</v>
      </c>
      <c r="T868" s="175">
        <v>45537</v>
      </c>
      <c r="U868" s="176">
        <v>45545</v>
      </c>
      <c r="V868" s="177">
        <v>45550</v>
      </c>
      <c r="W868" s="105">
        <v>45534</v>
      </c>
      <c r="X868" s="178" t="s">
        <v>3472</v>
      </c>
      <c r="Y868" s="170" t="s">
        <v>6459</v>
      </c>
      <c r="Z868" s="1698">
        <v>45531</v>
      </c>
      <c r="AA868" s="369" t="s">
        <v>67</v>
      </c>
      <c r="AB868" s="115" t="s">
        <v>6953</v>
      </c>
      <c r="AC868" s="8">
        <v>45531</v>
      </c>
      <c r="AD868" s="4">
        <v>6831640.0999999996</v>
      </c>
      <c r="AE868" s="4"/>
      <c r="AF868" s="32"/>
      <c r="AG868" s="34" t="s">
        <v>67</v>
      </c>
      <c r="AH868" s="112" t="s">
        <v>67</v>
      </c>
      <c r="AI868" s="112" t="s">
        <v>67</v>
      </c>
      <c r="AJ868" s="7" t="s">
        <v>67</v>
      </c>
      <c r="AK868" s="109" t="s">
        <v>67</v>
      </c>
      <c r="AL868" s="33" t="s">
        <v>5813</v>
      </c>
      <c r="AM868" s="2" t="s">
        <v>6954</v>
      </c>
      <c r="AN868" s="5">
        <v>45537</v>
      </c>
      <c r="AO868" s="2" t="s">
        <v>6955</v>
      </c>
      <c r="AP868" s="239">
        <v>45537</v>
      </c>
      <c r="AQ868" s="2" t="s">
        <v>6956</v>
      </c>
      <c r="AR868" s="5">
        <v>45551</v>
      </c>
      <c r="AS868" s="280">
        <v>164118.49</v>
      </c>
      <c r="AT868" s="35">
        <v>0</v>
      </c>
      <c r="AU868" s="2011">
        <v>1641184.91</v>
      </c>
      <c r="AV868" s="901"/>
      <c r="AW868" s="231"/>
      <c r="AX868" s="11"/>
      <c r="AY868" s="224"/>
      <c r="AZ868" s="52"/>
      <c r="BA868" s="30">
        <v>45551</v>
      </c>
      <c r="BB868" s="5">
        <v>45545</v>
      </c>
      <c r="BC868" s="5">
        <v>45550</v>
      </c>
      <c r="BD868" s="11">
        <v>45550</v>
      </c>
      <c r="BE868" s="30">
        <v>45551</v>
      </c>
      <c r="BF868" s="202" t="s">
        <v>6351</v>
      </c>
      <c r="BG868" s="5">
        <v>45545</v>
      </c>
      <c r="BH868" s="5">
        <v>45550</v>
      </c>
      <c r="BI868" s="5">
        <v>45550</v>
      </c>
      <c r="BJ868" s="129">
        <f>AT868+AU868</f>
        <v>1641184.91</v>
      </c>
      <c r="BK868" s="30">
        <v>45551</v>
      </c>
      <c r="BL868" s="1931">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3947</v>
      </c>
      <c r="CF868" s="866"/>
    </row>
    <row r="869" spans="1:84" ht="69.75" hidden="1" customHeight="1">
      <c r="A869" s="1467"/>
      <c r="B869" s="814"/>
      <c r="C869" s="22"/>
      <c r="D869" s="22"/>
      <c r="E869" s="921"/>
      <c r="F869" s="921"/>
      <c r="G869" s="925"/>
      <c r="H869" s="1793" t="s">
        <v>6333</v>
      </c>
      <c r="I869" s="331"/>
      <c r="J869" s="331"/>
      <c r="K869" s="169">
        <v>2024</v>
      </c>
      <c r="L869" s="1446">
        <v>245036</v>
      </c>
      <c r="M869" s="1446"/>
      <c r="N869" s="170" t="s">
        <v>165</v>
      </c>
      <c r="O869" s="178" t="s">
        <v>6352</v>
      </c>
      <c r="P869" s="172" t="s">
        <v>78</v>
      </c>
      <c r="Q869" s="2019" t="s">
        <v>6376</v>
      </c>
      <c r="R869" s="173" t="s">
        <v>4413</v>
      </c>
      <c r="S869" s="2018">
        <v>2600448.56</v>
      </c>
      <c r="T869" s="582">
        <v>45540</v>
      </c>
      <c r="U869" s="176">
        <v>45541</v>
      </c>
      <c r="V869" s="177">
        <v>45551</v>
      </c>
      <c r="W869" s="667"/>
      <c r="X869" s="178" t="s">
        <v>4447</v>
      </c>
      <c r="Y869" s="170" t="s">
        <v>6459</v>
      </c>
      <c r="Z869" s="1698">
        <v>45531</v>
      </c>
      <c r="AA869" s="369" t="s">
        <v>67</v>
      </c>
      <c r="AB869" s="115" t="s">
        <v>6957</v>
      </c>
      <c r="AC869" s="8">
        <v>45531</v>
      </c>
      <c r="AD869" s="4">
        <v>2600718.84</v>
      </c>
      <c r="AE869" s="4"/>
      <c r="AF869" s="32"/>
      <c r="AG869" s="34" t="s">
        <v>67</v>
      </c>
      <c r="AH869" s="112" t="s">
        <v>67</v>
      </c>
      <c r="AI869" s="112" t="s">
        <v>67</v>
      </c>
      <c r="AJ869" s="7" t="s">
        <v>67</v>
      </c>
      <c r="AK869" s="109" t="s">
        <v>67</v>
      </c>
      <c r="AL869" s="33" t="s">
        <v>5813</v>
      </c>
      <c r="AM869" s="2" t="s">
        <v>6958</v>
      </c>
      <c r="AN869" s="5">
        <v>45540</v>
      </c>
      <c r="AO869" s="2" t="s">
        <v>6959</v>
      </c>
      <c r="AP869" s="239">
        <v>45540</v>
      </c>
      <c r="AQ869" s="2" t="s">
        <v>6960</v>
      </c>
      <c r="AR869" s="5">
        <v>45552</v>
      </c>
      <c r="AS869" s="280">
        <f>780134.57+260044.85+260028.5</f>
        <v>1300207.92</v>
      </c>
      <c r="AT869" s="35">
        <v>0</v>
      </c>
      <c r="AU869" s="2011">
        <v>2600285.02</v>
      </c>
      <c r="AV869" s="901"/>
      <c r="AW869" s="30">
        <v>45541</v>
      </c>
      <c r="AX869" s="11">
        <v>45551</v>
      </c>
      <c r="AY869" s="224"/>
      <c r="AZ869" s="52"/>
      <c r="BA869" s="30">
        <v>45551</v>
      </c>
      <c r="BB869" s="5">
        <v>45541</v>
      </c>
      <c r="BC869" s="5">
        <v>45551</v>
      </c>
      <c r="BD869" s="11">
        <v>45551</v>
      </c>
      <c r="BE869" s="30">
        <v>45552</v>
      </c>
      <c r="BF869" s="202" t="s">
        <v>6961</v>
      </c>
      <c r="BG869" s="5">
        <v>45541</v>
      </c>
      <c r="BH869" s="5">
        <v>45551</v>
      </c>
      <c r="BI869" s="5">
        <v>45551</v>
      </c>
      <c r="BJ869" s="129">
        <f>AT869+AU869</f>
        <v>2600285.02</v>
      </c>
      <c r="BK869" s="30">
        <v>45552</v>
      </c>
      <c r="BL869" s="1931">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3947</v>
      </c>
      <c r="CF869" s="866"/>
    </row>
    <row r="870" spans="1:84" ht="78" hidden="1" customHeight="1">
      <c r="A870" s="1467"/>
      <c r="B870" s="814"/>
      <c r="C870" s="22"/>
      <c r="D870" s="22"/>
      <c r="E870" s="921"/>
      <c r="F870" s="921"/>
      <c r="G870" s="925"/>
      <c r="H870" s="1793" t="s">
        <v>6333</v>
      </c>
      <c r="I870" s="331"/>
      <c r="J870" s="331"/>
      <c r="K870" s="169">
        <v>2024</v>
      </c>
      <c r="L870" s="1446">
        <v>245037</v>
      </c>
      <c r="M870" s="1446"/>
      <c r="N870" s="170" t="s">
        <v>5835</v>
      </c>
      <c r="O870" s="178" t="s">
        <v>6353</v>
      </c>
      <c r="P870" s="172" t="s">
        <v>78</v>
      </c>
      <c r="Q870" s="452" t="s">
        <v>6430</v>
      </c>
      <c r="R870" s="173" t="s">
        <v>1975</v>
      </c>
      <c r="S870" s="1196">
        <v>758548.36</v>
      </c>
      <c r="T870" s="545">
        <v>45562</v>
      </c>
      <c r="U870" s="998">
        <v>45562</v>
      </c>
      <c r="V870" s="999">
        <v>45569</v>
      </c>
      <c r="W870" s="1000">
        <v>45562</v>
      </c>
      <c r="X870" s="1066" t="s">
        <v>3963</v>
      </c>
      <c r="Y870" s="1067" t="s">
        <v>1106</v>
      </c>
      <c r="Z870" s="1698">
        <v>45505</v>
      </c>
      <c r="AA870" s="1412"/>
      <c r="AB870" s="115" t="s">
        <v>6431</v>
      </c>
      <c r="AC870" s="8">
        <v>45562</v>
      </c>
      <c r="AD870" s="4">
        <v>758548.36</v>
      </c>
      <c r="AE870" s="4"/>
      <c r="AF870" s="32"/>
      <c r="AG870" s="34" t="s">
        <v>67</v>
      </c>
      <c r="AH870" s="112" t="s">
        <v>67</v>
      </c>
      <c r="AI870" s="112" t="s">
        <v>67</v>
      </c>
      <c r="AJ870" s="7" t="s">
        <v>67</v>
      </c>
      <c r="AK870" s="109" t="s">
        <v>67</v>
      </c>
      <c r="AL870" s="33" t="s">
        <v>6882</v>
      </c>
      <c r="AM870" s="1" t="s">
        <v>67</v>
      </c>
      <c r="AN870" s="5"/>
      <c r="AO870" s="1" t="s">
        <v>6962</v>
      </c>
      <c r="AP870" s="5">
        <v>45562</v>
      </c>
      <c r="AQ870" s="1" t="s">
        <v>82</v>
      </c>
      <c r="AR870" s="5"/>
      <c r="AS870" s="280">
        <v>75854.83</v>
      </c>
      <c r="AT870" s="35"/>
      <c r="AU870" s="2011">
        <v>711828.2</v>
      </c>
      <c r="AV870" s="901"/>
      <c r="AW870" s="30">
        <v>45562</v>
      </c>
      <c r="AX870" s="11">
        <v>45568</v>
      </c>
      <c r="AY870" s="224"/>
      <c r="AZ870" s="52"/>
      <c r="BA870" s="30">
        <v>45572</v>
      </c>
      <c r="BB870" s="5">
        <v>45562</v>
      </c>
      <c r="BC870" s="5">
        <v>45569</v>
      </c>
      <c r="BD870" s="11">
        <v>45568</v>
      </c>
      <c r="BE870" s="30">
        <v>45572</v>
      </c>
      <c r="BF870" s="202" t="s">
        <v>6353</v>
      </c>
      <c r="BG870" s="5">
        <v>45562</v>
      </c>
      <c r="BH870" s="5">
        <v>45569</v>
      </c>
      <c r="BI870" s="5">
        <v>45568</v>
      </c>
      <c r="BJ870" s="129">
        <f>AT870+AU870</f>
        <v>711828.2</v>
      </c>
      <c r="BK870" s="30">
        <v>45573</v>
      </c>
      <c r="BL870" s="1931">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3947</v>
      </c>
      <c r="CF870" s="866"/>
    </row>
    <row r="871" spans="1:84" ht="34.5" customHeight="1">
      <c r="B871" s="22"/>
      <c r="C871" s="22"/>
      <c r="D871" s="22"/>
      <c r="E871" s="921"/>
      <c r="F871" s="921"/>
      <c r="G871" s="925"/>
      <c r="H871" s="1793"/>
      <c r="I871" s="331"/>
      <c r="J871" s="331"/>
      <c r="K871" s="169">
        <v>2025</v>
      </c>
      <c r="L871" s="1446"/>
      <c r="M871" s="1446"/>
      <c r="N871" s="170"/>
      <c r="O871" s="1064"/>
      <c r="P871" s="172" t="s">
        <v>466</v>
      </c>
      <c r="Q871" s="1215"/>
      <c r="R871" s="173"/>
      <c r="S871" s="1717"/>
      <c r="T871" s="175"/>
      <c r="U871" s="176"/>
      <c r="V871" s="177"/>
      <c r="W871" s="2021" t="s">
        <v>67</v>
      </c>
      <c r="X871" s="1788" t="s">
        <v>67</v>
      </c>
      <c r="Y871" s="1789" t="s">
        <v>67</v>
      </c>
      <c r="Z871" s="1771" t="s">
        <v>67</v>
      </c>
      <c r="AA871" s="1772" t="s">
        <v>67</v>
      </c>
      <c r="AB871" s="256"/>
      <c r="AC871" s="8"/>
      <c r="AD871" s="4"/>
      <c r="AE871" s="4"/>
      <c r="AF871" s="32"/>
      <c r="AG871" s="1773" t="s">
        <v>67</v>
      </c>
      <c r="AH871" s="1774" t="s">
        <v>67</v>
      </c>
      <c r="AI871" s="1774" t="s">
        <v>67</v>
      </c>
      <c r="AJ871" s="1775" t="s">
        <v>67</v>
      </c>
      <c r="AK871" s="1776" t="s">
        <v>67</v>
      </c>
      <c r="AL871" s="1777" t="s">
        <v>67</v>
      </c>
      <c r="AM871" s="1680" t="s">
        <v>67</v>
      </c>
      <c r="AN871" s="1704"/>
      <c r="AO871" s="1680" t="s">
        <v>67</v>
      </c>
      <c r="AP871" s="1704"/>
      <c r="AQ871" s="1680" t="s">
        <v>67</v>
      </c>
      <c r="AR871" s="1704"/>
      <c r="AS871" s="1778"/>
      <c r="AT871" s="1779">
        <v>0</v>
      </c>
      <c r="AU871" s="1780">
        <v>0</v>
      </c>
      <c r="AV871" s="1781">
        <v>0</v>
      </c>
      <c r="AW871" s="1782" t="s">
        <v>67</v>
      </c>
      <c r="AX871" s="1701" t="s">
        <v>67</v>
      </c>
      <c r="AY871" s="1702" t="s">
        <v>67</v>
      </c>
      <c r="AZ871" s="1703" t="s">
        <v>67</v>
      </c>
      <c r="BA871" s="1782" t="s">
        <v>67</v>
      </c>
      <c r="BB871" s="1704"/>
      <c r="BC871" s="1704"/>
      <c r="BD871" s="1701"/>
      <c r="BE871" s="1782" t="s">
        <v>67</v>
      </c>
      <c r="BF871" s="1783" t="s">
        <v>67</v>
      </c>
      <c r="BG871" s="1704"/>
      <c r="BH871" s="1704"/>
      <c r="BI871" s="1704"/>
      <c r="BJ871" s="1706">
        <v>0</v>
      </c>
      <c r="BK871" s="1784" t="s">
        <v>67</v>
      </c>
      <c r="BL871" s="1139" t="s">
        <v>67</v>
      </c>
      <c r="BM871" s="1785" t="s">
        <v>67</v>
      </c>
      <c r="BN871" s="1786" t="s">
        <v>67</v>
      </c>
      <c r="BO871" s="1786" t="s">
        <v>67</v>
      </c>
      <c r="BP871" s="1787" t="s">
        <v>67</v>
      </c>
      <c r="BQ871" s="1787" t="s">
        <v>67</v>
      </c>
      <c r="BR871" s="1787" t="s">
        <v>67</v>
      </c>
      <c r="BS871" s="1787" t="s">
        <v>67</v>
      </c>
      <c r="BT871" s="1787" t="s">
        <v>67</v>
      </c>
      <c r="BU871" s="1787" t="s">
        <v>67</v>
      </c>
      <c r="BV871" s="1787" t="s">
        <v>67</v>
      </c>
      <c r="BW871" s="1785" t="s">
        <v>67</v>
      </c>
      <c r="BX871" s="13"/>
      <c r="BY871" s="22"/>
      <c r="BZ871" s="22"/>
      <c r="CA871" s="22"/>
      <c r="CB871" s="22"/>
      <c r="CC871" s="22"/>
      <c r="CD871" s="22"/>
      <c r="CE871" s="1246" t="s">
        <v>6558</v>
      </c>
      <c r="CF871" s="866"/>
    </row>
    <row r="872" spans="1:84" ht="34.5" customHeight="1">
      <c r="B872" s="22"/>
      <c r="C872" s="22"/>
      <c r="D872" s="22"/>
      <c r="E872" s="921"/>
      <c r="F872" s="921"/>
      <c r="G872" s="925"/>
      <c r="H872" s="1793"/>
      <c r="I872" s="331"/>
      <c r="J872" s="331"/>
      <c r="K872" s="169">
        <v>2025</v>
      </c>
      <c r="L872" s="1446"/>
      <c r="M872" s="1446"/>
      <c r="N872" s="170"/>
      <c r="O872" s="1064"/>
      <c r="P872" s="172" t="s">
        <v>466</v>
      </c>
      <c r="Q872" s="1215"/>
      <c r="R872" s="173"/>
      <c r="S872" s="1717"/>
      <c r="T872" s="175"/>
      <c r="U872" s="176"/>
      <c r="V872" s="177"/>
      <c r="W872" s="2021" t="s">
        <v>67</v>
      </c>
      <c r="X872" s="1788" t="s">
        <v>67</v>
      </c>
      <c r="Y872" s="1789" t="s">
        <v>67</v>
      </c>
      <c r="Z872" s="1771" t="s">
        <v>67</v>
      </c>
      <c r="AA872" s="1772" t="s">
        <v>67</v>
      </c>
      <c r="AB872" s="256"/>
      <c r="AC872" s="8"/>
      <c r="AD872" s="4"/>
      <c r="AE872" s="4"/>
      <c r="AF872" s="32"/>
      <c r="AG872" s="1773" t="s">
        <v>67</v>
      </c>
      <c r="AH872" s="1774" t="s">
        <v>67</v>
      </c>
      <c r="AI872" s="1774" t="s">
        <v>67</v>
      </c>
      <c r="AJ872" s="1775" t="s">
        <v>67</v>
      </c>
      <c r="AK872" s="1776" t="s">
        <v>67</v>
      </c>
      <c r="AL872" s="1777" t="s">
        <v>67</v>
      </c>
      <c r="AM872" s="1680" t="s">
        <v>67</v>
      </c>
      <c r="AN872" s="1704"/>
      <c r="AO872" s="1680" t="s">
        <v>67</v>
      </c>
      <c r="AP872" s="1704"/>
      <c r="AQ872" s="1680" t="s">
        <v>67</v>
      </c>
      <c r="AR872" s="1704"/>
      <c r="AS872" s="1778"/>
      <c r="AT872" s="1779">
        <v>0</v>
      </c>
      <c r="AU872" s="1780">
        <v>0</v>
      </c>
      <c r="AV872" s="1781">
        <v>0</v>
      </c>
      <c r="AW872" s="1782" t="s">
        <v>67</v>
      </c>
      <c r="AX872" s="1701" t="s">
        <v>67</v>
      </c>
      <c r="AY872" s="1702" t="s">
        <v>67</v>
      </c>
      <c r="AZ872" s="1703" t="s">
        <v>67</v>
      </c>
      <c r="BA872" s="1782" t="s">
        <v>67</v>
      </c>
      <c r="BB872" s="1704"/>
      <c r="BC872" s="1704"/>
      <c r="BD872" s="1701"/>
      <c r="BE872" s="1782" t="s">
        <v>67</v>
      </c>
      <c r="BF872" s="1783" t="s">
        <v>67</v>
      </c>
      <c r="BG872" s="1704"/>
      <c r="BH872" s="1704"/>
      <c r="BI872" s="1704"/>
      <c r="BJ872" s="1706">
        <v>0</v>
      </c>
      <c r="BK872" s="1784" t="s">
        <v>67</v>
      </c>
      <c r="BL872" s="1139" t="s">
        <v>67</v>
      </c>
      <c r="BM872" s="1785" t="s">
        <v>67</v>
      </c>
      <c r="BN872" s="1786" t="s">
        <v>67</v>
      </c>
      <c r="BO872" s="1786" t="s">
        <v>67</v>
      </c>
      <c r="BP872" s="1787" t="s">
        <v>67</v>
      </c>
      <c r="BQ872" s="1787" t="s">
        <v>67</v>
      </c>
      <c r="BR872" s="1787" t="s">
        <v>67</v>
      </c>
      <c r="BS872" s="1787" t="s">
        <v>67</v>
      </c>
      <c r="BT872" s="1787" t="s">
        <v>67</v>
      </c>
      <c r="BU872" s="1787" t="s">
        <v>67</v>
      </c>
      <c r="BV872" s="1787" t="s">
        <v>67</v>
      </c>
      <c r="BW872" s="1785" t="s">
        <v>67</v>
      </c>
      <c r="BX872" s="13"/>
      <c r="BY872" s="22"/>
      <c r="BZ872" s="22"/>
      <c r="CA872" s="22"/>
      <c r="CB872" s="22"/>
      <c r="CC872" s="22"/>
      <c r="CD872" s="22"/>
      <c r="CE872" s="1246" t="s">
        <v>6558</v>
      </c>
      <c r="CF872" s="866"/>
    </row>
    <row r="873" spans="1:84" ht="34.5" customHeight="1">
      <c r="B873" s="22"/>
      <c r="C873" s="22"/>
      <c r="D873" s="22"/>
      <c r="E873" s="921"/>
      <c r="F873" s="921"/>
      <c r="G873" s="925"/>
      <c r="H873" s="1793"/>
      <c r="I873" s="331"/>
      <c r="J873" s="331"/>
      <c r="K873" s="169">
        <v>2025</v>
      </c>
      <c r="L873" s="1446"/>
      <c r="M873" s="1446"/>
      <c r="N873" s="170"/>
      <c r="O873" s="178" t="s">
        <v>6966</v>
      </c>
      <c r="P873" s="172" t="s">
        <v>4035</v>
      </c>
      <c r="Q873" s="1215"/>
      <c r="R873" s="173"/>
      <c r="S873" s="1717"/>
      <c r="T873" s="175"/>
      <c r="U873" s="176"/>
      <c r="V873" s="177"/>
      <c r="W873" s="2021" t="s">
        <v>67</v>
      </c>
      <c r="X873" s="1788" t="s">
        <v>67</v>
      </c>
      <c r="Y873" s="930"/>
      <c r="Z873" s="1728"/>
      <c r="AA873" s="1412"/>
      <c r="AB873" s="256"/>
      <c r="AC873" s="8"/>
      <c r="AD873" s="4"/>
      <c r="AE873" s="4"/>
      <c r="AF873" s="32"/>
      <c r="AG873" s="1773" t="s">
        <v>67</v>
      </c>
      <c r="AH873" s="1774" t="s">
        <v>67</v>
      </c>
      <c r="AI873" s="1774" t="s">
        <v>67</v>
      </c>
      <c r="AJ873" s="1775" t="s">
        <v>67</v>
      </c>
      <c r="AK873" s="1776" t="s">
        <v>67</v>
      </c>
      <c r="AL873" s="1777" t="s">
        <v>67</v>
      </c>
      <c r="AM873" s="1680" t="s">
        <v>67</v>
      </c>
      <c r="AN873" s="1704"/>
      <c r="AO873" s="1680" t="s">
        <v>67</v>
      </c>
      <c r="AP873" s="1704"/>
      <c r="AQ873" s="1680" t="s">
        <v>67</v>
      </c>
      <c r="AR873" s="1704"/>
      <c r="AS873" s="1778" t="s">
        <v>67</v>
      </c>
      <c r="AT873" s="35"/>
      <c r="AU873" s="912"/>
      <c r="AV873" s="901"/>
      <c r="AW873" s="231"/>
      <c r="AX873" s="11"/>
      <c r="AY873" s="224"/>
      <c r="AZ873" s="52"/>
      <c r="BA873" s="231"/>
      <c r="BB873" s="5"/>
      <c r="BC873" s="5"/>
      <c r="BD873" s="11"/>
      <c r="BE873" s="231"/>
      <c r="BF873" s="509"/>
      <c r="BG873" s="5"/>
      <c r="BH873" s="5"/>
      <c r="BI873" s="5"/>
      <c r="BJ873" s="64"/>
      <c r="BK873" s="1784" t="s">
        <v>67</v>
      </c>
      <c r="BL873" s="1139" t="s">
        <v>67</v>
      </c>
      <c r="BM873" s="1418"/>
      <c r="BN873" s="1786" t="s">
        <v>67</v>
      </c>
      <c r="BO873" s="1786" t="s">
        <v>67</v>
      </c>
      <c r="BP873" s="2020"/>
      <c r="BQ873" s="1787" t="s">
        <v>67</v>
      </c>
      <c r="BR873" s="1787" t="s">
        <v>67</v>
      </c>
      <c r="BS873" s="1787" t="s">
        <v>67</v>
      </c>
      <c r="BT873" s="1787" t="s">
        <v>67</v>
      </c>
      <c r="BU873" s="1787" t="s">
        <v>67</v>
      </c>
      <c r="BV873" s="1787" t="s">
        <v>67</v>
      </c>
      <c r="BW873" s="1785" t="s">
        <v>67</v>
      </c>
      <c r="BX873" s="13"/>
      <c r="BY873" s="22"/>
      <c r="BZ873" s="22"/>
      <c r="CA873" s="22"/>
      <c r="CB873" s="22"/>
      <c r="CC873" s="22"/>
      <c r="CD873" s="22"/>
      <c r="CE873" s="1246" t="s">
        <v>6558</v>
      </c>
      <c r="CF873" s="866"/>
    </row>
    <row r="874" spans="1:84" ht="34.5" customHeight="1">
      <c r="B874" s="22"/>
      <c r="C874" s="22"/>
      <c r="D874" s="22"/>
      <c r="E874" s="921"/>
      <c r="F874" s="921"/>
      <c r="G874" s="925"/>
      <c r="H874" s="1793"/>
      <c r="I874" s="331"/>
      <c r="J874" s="331"/>
      <c r="K874" s="169">
        <v>2025</v>
      </c>
      <c r="L874" s="1446"/>
      <c r="M874" s="1446"/>
      <c r="N874" s="170"/>
      <c r="O874" s="178" t="s">
        <v>6967</v>
      </c>
      <c r="P874" s="172" t="s">
        <v>4035</v>
      </c>
      <c r="Q874" s="1215"/>
      <c r="R874" s="173"/>
      <c r="S874" s="1717"/>
      <c r="T874" s="175"/>
      <c r="U874" s="176"/>
      <c r="V874" s="177"/>
      <c r="W874" s="2021" t="s">
        <v>67</v>
      </c>
      <c r="X874" s="1788" t="s">
        <v>67</v>
      </c>
      <c r="Y874" s="930"/>
      <c r="Z874" s="1728"/>
      <c r="AA874" s="1412"/>
      <c r="AB874" s="256"/>
      <c r="AC874" s="8"/>
      <c r="AD874" s="4"/>
      <c r="AE874" s="4"/>
      <c r="AF874" s="32"/>
      <c r="AG874" s="1773" t="s">
        <v>67</v>
      </c>
      <c r="AH874" s="1774" t="s">
        <v>67</v>
      </c>
      <c r="AI874" s="1774" t="s">
        <v>67</v>
      </c>
      <c r="AJ874" s="1775" t="s">
        <v>67</v>
      </c>
      <c r="AK874" s="1776" t="s">
        <v>67</v>
      </c>
      <c r="AL874" s="1777" t="s">
        <v>67</v>
      </c>
      <c r="AM874" s="1680" t="s">
        <v>67</v>
      </c>
      <c r="AN874" s="1704"/>
      <c r="AO874" s="1680" t="s">
        <v>67</v>
      </c>
      <c r="AP874" s="1704"/>
      <c r="AQ874" s="1680" t="s">
        <v>67</v>
      </c>
      <c r="AR874" s="1704"/>
      <c r="AS874" s="1778" t="s">
        <v>67</v>
      </c>
      <c r="AT874" s="35"/>
      <c r="AU874" s="912"/>
      <c r="AV874" s="901"/>
      <c r="AW874" s="231"/>
      <c r="AX874" s="11"/>
      <c r="AY874" s="224"/>
      <c r="AZ874" s="52"/>
      <c r="BA874" s="231"/>
      <c r="BB874" s="5"/>
      <c r="BC874" s="5"/>
      <c r="BD874" s="11"/>
      <c r="BE874" s="231"/>
      <c r="BF874" s="509"/>
      <c r="BG874" s="5"/>
      <c r="BH874" s="5"/>
      <c r="BI874" s="5"/>
      <c r="BJ874" s="64"/>
      <c r="BK874" s="1784" t="s">
        <v>67</v>
      </c>
      <c r="BL874" s="1139" t="s">
        <v>67</v>
      </c>
      <c r="BM874" s="1418"/>
      <c r="BN874" s="1786" t="s">
        <v>67</v>
      </c>
      <c r="BO874" s="1786" t="s">
        <v>67</v>
      </c>
      <c r="BP874" s="2020"/>
      <c r="BQ874" s="1787" t="s">
        <v>67</v>
      </c>
      <c r="BR874" s="1787" t="s">
        <v>67</v>
      </c>
      <c r="BS874" s="1787" t="s">
        <v>67</v>
      </c>
      <c r="BT874" s="1787" t="s">
        <v>67</v>
      </c>
      <c r="BU874" s="1787" t="s">
        <v>67</v>
      </c>
      <c r="BV874" s="1787" t="s">
        <v>67</v>
      </c>
      <c r="BW874" s="1785" t="s">
        <v>67</v>
      </c>
      <c r="BX874" s="13"/>
      <c r="BY874" s="22"/>
      <c r="BZ874" s="22"/>
      <c r="CA874" s="22"/>
      <c r="CB874" s="22"/>
      <c r="CC874" s="22"/>
      <c r="CD874" s="22"/>
      <c r="CE874" s="1246" t="s">
        <v>6558</v>
      </c>
      <c r="CF874" s="866"/>
    </row>
    <row r="875" spans="1:84" ht="34.5" customHeight="1">
      <c r="B875" s="22"/>
      <c r="C875" s="22"/>
      <c r="D875" s="22"/>
      <c r="E875" s="921"/>
      <c r="F875" s="921"/>
      <c r="G875" s="925"/>
      <c r="H875" s="1793"/>
      <c r="I875" s="331"/>
      <c r="J875" s="331"/>
      <c r="K875" s="169">
        <v>2025</v>
      </c>
      <c r="L875" s="1446"/>
      <c r="M875" s="1446"/>
      <c r="N875" s="170"/>
      <c r="O875" s="178" t="s">
        <v>6968</v>
      </c>
      <c r="P875" s="172" t="s">
        <v>4035</v>
      </c>
      <c r="Q875" s="1215"/>
      <c r="R875" s="173"/>
      <c r="S875" s="1717"/>
      <c r="T875" s="175"/>
      <c r="U875" s="176"/>
      <c r="V875" s="177"/>
      <c r="W875" s="2021" t="s">
        <v>67</v>
      </c>
      <c r="X875" s="1788" t="s">
        <v>67</v>
      </c>
      <c r="Y875" s="930"/>
      <c r="Z875" s="1728"/>
      <c r="AA875" s="1412"/>
      <c r="AB875" s="256"/>
      <c r="AC875" s="8"/>
      <c r="AD875" s="4"/>
      <c r="AE875" s="4"/>
      <c r="AF875" s="32"/>
      <c r="AG875" s="1773" t="s">
        <v>67</v>
      </c>
      <c r="AH875" s="1774" t="s">
        <v>67</v>
      </c>
      <c r="AI875" s="1774" t="s">
        <v>67</v>
      </c>
      <c r="AJ875" s="1775" t="s">
        <v>67</v>
      </c>
      <c r="AK875" s="1776" t="s">
        <v>67</v>
      </c>
      <c r="AL875" s="1777" t="s">
        <v>67</v>
      </c>
      <c r="AM875" s="1680" t="s">
        <v>67</v>
      </c>
      <c r="AN875" s="1704"/>
      <c r="AO875" s="1680" t="s">
        <v>67</v>
      </c>
      <c r="AP875" s="1704"/>
      <c r="AQ875" s="1680" t="s">
        <v>67</v>
      </c>
      <c r="AR875" s="1704"/>
      <c r="AS875" s="1778" t="s">
        <v>67</v>
      </c>
      <c r="AT875" s="35"/>
      <c r="AU875" s="912"/>
      <c r="AV875" s="901"/>
      <c r="AW875" s="231"/>
      <c r="AX875" s="11"/>
      <c r="AY875" s="224"/>
      <c r="AZ875" s="52"/>
      <c r="BA875" s="231"/>
      <c r="BB875" s="5"/>
      <c r="BC875" s="5"/>
      <c r="BD875" s="11"/>
      <c r="BE875" s="231"/>
      <c r="BF875" s="509"/>
      <c r="BG875" s="5"/>
      <c r="BH875" s="5"/>
      <c r="BI875" s="5"/>
      <c r="BJ875" s="64"/>
      <c r="BK875" s="1784" t="s">
        <v>67</v>
      </c>
      <c r="BL875" s="1139" t="s">
        <v>67</v>
      </c>
      <c r="BM875" s="1418"/>
      <c r="BN875" s="1786" t="s">
        <v>67</v>
      </c>
      <c r="BO875" s="1786" t="s">
        <v>67</v>
      </c>
      <c r="BP875" s="2020"/>
      <c r="BQ875" s="1787" t="s">
        <v>67</v>
      </c>
      <c r="BR875" s="1787" t="s">
        <v>67</v>
      </c>
      <c r="BS875" s="1787" t="s">
        <v>67</v>
      </c>
      <c r="BT875" s="1787" t="s">
        <v>67</v>
      </c>
      <c r="BU875" s="1787" t="s">
        <v>67</v>
      </c>
      <c r="BV875" s="1787" t="s">
        <v>67</v>
      </c>
      <c r="BW875" s="1785" t="s">
        <v>67</v>
      </c>
      <c r="BX875" s="13"/>
      <c r="BY875" s="22"/>
      <c r="BZ875" s="22"/>
      <c r="CA875" s="22"/>
      <c r="CB875" s="22"/>
      <c r="CC875" s="22"/>
      <c r="CD875" s="22"/>
      <c r="CE875" s="1246" t="s">
        <v>6558</v>
      </c>
      <c r="CF875" s="866"/>
    </row>
    <row r="876" spans="1:84" ht="34.5" customHeight="1">
      <c r="B876" s="22"/>
      <c r="C876" s="22"/>
      <c r="D876" s="22"/>
      <c r="E876" s="921"/>
      <c r="F876" s="921"/>
      <c r="G876" s="925"/>
      <c r="H876" s="1793"/>
      <c r="I876" s="331"/>
      <c r="J876" s="331"/>
      <c r="K876" s="169">
        <v>2025</v>
      </c>
      <c r="L876" s="1446"/>
      <c r="M876" s="1446"/>
      <c r="N876" s="170"/>
      <c r="O876" s="178" t="s">
        <v>6969</v>
      </c>
      <c r="P876" s="172" t="s">
        <v>4035</v>
      </c>
      <c r="Q876" s="1215"/>
      <c r="R876" s="173"/>
      <c r="S876" s="1717"/>
      <c r="T876" s="175"/>
      <c r="U876" s="176"/>
      <c r="V876" s="177"/>
      <c r="W876" s="2021" t="s">
        <v>67</v>
      </c>
      <c r="X876" s="1788" t="s">
        <v>67</v>
      </c>
      <c r="Y876" s="930"/>
      <c r="Z876" s="1728"/>
      <c r="AA876" s="1412"/>
      <c r="AB876" s="256"/>
      <c r="AC876" s="8"/>
      <c r="AD876" s="4"/>
      <c r="AE876" s="4"/>
      <c r="AF876" s="32"/>
      <c r="AG876" s="1773" t="s">
        <v>67</v>
      </c>
      <c r="AH876" s="1774" t="s">
        <v>67</v>
      </c>
      <c r="AI876" s="1774" t="s">
        <v>67</v>
      </c>
      <c r="AJ876" s="1775" t="s">
        <v>67</v>
      </c>
      <c r="AK876" s="1776" t="s">
        <v>67</v>
      </c>
      <c r="AL876" s="1777" t="s">
        <v>67</v>
      </c>
      <c r="AM876" s="1680" t="s">
        <v>67</v>
      </c>
      <c r="AN876" s="1704"/>
      <c r="AO876" s="1680" t="s">
        <v>67</v>
      </c>
      <c r="AP876" s="1704"/>
      <c r="AQ876" s="1680" t="s">
        <v>67</v>
      </c>
      <c r="AR876" s="1704"/>
      <c r="AS876" s="1778" t="s">
        <v>67</v>
      </c>
      <c r="AT876" s="35"/>
      <c r="AU876" s="912"/>
      <c r="AV876" s="901"/>
      <c r="AW876" s="231"/>
      <c r="AX876" s="11"/>
      <c r="AY876" s="224"/>
      <c r="AZ876" s="52"/>
      <c r="BA876" s="231"/>
      <c r="BB876" s="5"/>
      <c r="BC876" s="5"/>
      <c r="BD876" s="11"/>
      <c r="BE876" s="231"/>
      <c r="BF876" s="509"/>
      <c r="BG876" s="5"/>
      <c r="BH876" s="5"/>
      <c r="BI876" s="5"/>
      <c r="BJ876" s="64"/>
      <c r="BK876" s="1784" t="s">
        <v>67</v>
      </c>
      <c r="BL876" s="1139" t="s">
        <v>67</v>
      </c>
      <c r="BM876" s="1418"/>
      <c r="BN876" s="1786" t="s">
        <v>67</v>
      </c>
      <c r="BO876" s="1786" t="s">
        <v>67</v>
      </c>
      <c r="BP876" s="2020"/>
      <c r="BQ876" s="1787" t="s">
        <v>67</v>
      </c>
      <c r="BR876" s="1787" t="s">
        <v>67</v>
      </c>
      <c r="BS876" s="1787" t="s">
        <v>67</v>
      </c>
      <c r="BT876" s="1787" t="s">
        <v>67</v>
      </c>
      <c r="BU876" s="1787" t="s">
        <v>67</v>
      </c>
      <c r="BV876" s="1787" t="s">
        <v>67</v>
      </c>
      <c r="BW876" s="1785" t="s">
        <v>67</v>
      </c>
      <c r="BX876" s="13"/>
      <c r="BY876" s="22"/>
      <c r="BZ876" s="22"/>
      <c r="CA876" s="22"/>
      <c r="CB876" s="22"/>
      <c r="CC876" s="22"/>
      <c r="CD876" s="22"/>
      <c r="CE876" s="1246" t="s">
        <v>6558</v>
      </c>
      <c r="CF876" s="866"/>
    </row>
    <row r="877" spans="1:84" ht="34.5" customHeight="1">
      <c r="B877" s="22"/>
      <c r="C877" s="22"/>
      <c r="D877" s="22"/>
      <c r="E877" s="921"/>
      <c r="F877" s="921"/>
      <c r="G877" s="925"/>
      <c r="H877" s="1793"/>
      <c r="I877" s="331"/>
      <c r="J877" s="331"/>
      <c r="K877" s="169">
        <v>2025</v>
      </c>
      <c r="L877" s="1446"/>
      <c r="M877" s="1446"/>
      <c r="N877" s="170"/>
      <c r="O877" s="178" t="s">
        <v>6970</v>
      </c>
      <c r="P877" s="172" t="s">
        <v>4035</v>
      </c>
      <c r="Q877" s="1215"/>
      <c r="R877" s="173"/>
      <c r="S877" s="1717"/>
      <c r="T877" s="175"/>
      <c r="U877" s="176"/>
      <c r="V877" s="177"/>
      <c r="W877" s="2021" t="s">
        <v>67</v>
      </c>
      <c r="X877" s="1788" t="s">
        <v>67</v>
      </c>
      <c r="Y877" s="930"/>
      <c r="Z877" s="1728"/>
      <c r="AA877" s="1412"/>
      <c r="AB877" s="256"/>
      <c r="AC877" s="8"/>
      <c r="AD877" s="4"/>
      <c r="AE877" s="4"/>
      <c r="AF877" s="32"/>
      <c r="AG877" s="1773" t="s">
        <v>67</v>
      </c>
      <c r="AH877" s="1774" t="s">
        <v>67</v>
      </c>
      <c r="AI877" s="1774" t="s">
        <v>67</v>
      </c>
      <c r="AJ877" s="1775" t="s">
        <v>67</v>
      </c>
      <c r="AK877" s="1776" t="s">
        <v>67</v>
      </c>
      <c r="AL877" s="1777" t="s">
        <v>67</v>
      </c>
      <c r="AM877" s="1680" t="s">
        <v>67</v>
      </c>
      <c r="AN877" s="1704"/>
      <c r="AO877" s="1680" t="s">
        <v>67</v>
      </c>
      <c r="AP877" s="1704"/>
      <c r="AQ877" s="1680" t="s">
        <v>67</v>
      </c>
      <c r="AR877" s="1704"/>
      <c r="AS877" s="1778" t="s">
        <v>67</v>
      </c>
      <c r="AT877" s="35"/>
      <c r="AU877" s="912"/>
      <c r="AV877" s="901"/>
      <c r="AW877" s="231"/>
      <c r="AX877" s="11"/>
      <c r="AY877" s="224"/>
      <c r="AZ877" s="52"/>
      <c r="BA877" s="231"/>
      <c r="BB877" s="5"/>
      <c r="BC877" s="5"/>
      <c r="BD877" s="11"/>
      <c r="BE877" s="231"/>
      <c r="BF877" s="509"/>
      <c r="BG877" s="5"/>
      <c r="BH877" s="5"/>
      <c r="BI877" s="5"/>
      <c r="BJ877" s="64"/>
      <c r="BK877" s="1784" t="s">
        <v>67</v>
      </c>
      <c r="BL877" s="1139" t="s">
        <v>67</v>
      </c>
      <c r="BM877" s="1418"/>
      <c r="BN877" s="1786" t="s">
        <v>67</v>
      </c>
      <c r="BO877" s="1786" t="s">
        <v>67</v>
      </c>
      <c r="BP877" s="2020"/>
      <c r="BQ877" s="1787" t="s">
        <v>67</v>
      </c>
      <c r="BR877" s="1787" t="s">
        <v>67</v>
      </c>
      <c r="BS877" s="1787" t="s">
        <v>67</v>
      </c>
      <c r="BT877" s="1787" t="s">
        <v>67</v>
      </c>
      <c r="BU877" s="1787" t="s">
        <v>67</v>
      </c>
      <c r="BV877" s="1787" t="s">
        <v>67</v>
      </c>
      <c r="BW877" s="1785" t="s">
        <v>67</v>
      </c>
      <c r="BX877" s="13"/>
      <c r="BY877" s="22"/>
      <c r="BZ877" s="22"/>
      <c r="CA877" s="22"/>
      <c r="CB877" s="22"/>
      <c r="CC877" s="22"/>
      <c r="CD877" s="22"/>
      <c r="CE877" s="1246" t="s">
        <v>6558</v>
      </c>
      <c r="CF877" s="866"/>
    </row>
    <row r="878" spans="1:84" ht="72.75" customHeight="1">
      <c r="B878" s="22"/>
      <c r="C878" s="22"/>
      <c r="D878" s="22"/>
      <c r="E878" s="921"/>
      <c r="F878" s="921"/>
      <c r="G878" s="925"/>
      <c r="H878" s="1793"/>
      <c r="I878" s="331"/>
      <c r="J878" s="331"/>
      <c r="K878" s="169">
        <v>2025</v>
      </c>
      <c r="L878" s="1446"/>
      <c r="M878" s="1446"/>
      <c r="N878" s="170" t="s">
        <v>165</v>
      </c>
      <c r="O878" s="178" t="s">
        <v>6971</v>
      </c>
      <c r="P878" s="172" t="s">
        <v>78</v>
      </c>
      <c r="Q878" s="1215" t="s">
        <v>6989</v>
      </c>
      <c r="R878" s="173" t="s">
        <v>1975</v>
      </c>
      <c r="S878" s="1717">
        <v>601216.35</v>
      </c>
      <c r="T878" s="175">
        <v>45762</v>
      </c>
      <c r="U878" s="176">
        <v>45807</v>
      </c>
      <c r="V878" s="177">
        <v>45749</v>
      </c>
      <c r="W878" s="667"/>
      <c r="X878" s="1064" t="s">
        <v>6982</v>
      </c>
      <c r="Y878" s="930"/>
      <c r="Z878" s="1728"/>
      <c r="AA878" s="1412"/>
      <c r="AB878" s="256"/>
      <c r="AC878" s="8"/>
      <c r="AD878" s="4"/>
      <c r="AE878" s="4"/>
      <c r="AF878" s="32"/>
      <c r="AG878" s="1422"/>
      <c r="AH878" s="608"/>
      <c r="AI878" s="608"/>
      <c r="AJ878" s="1423"/>
      <c r="AK878" s="1390"/>
      <c r="AL878" s="256"/>
      <c r="AM878" s="220"/>
      <c r="AN878" s="5"/>
      <c r="AO878" s="220"/>
      <c r="AP878" s="5"/>
      <c r="AQ878" s="220"/>
      <c r="AR878" s="5"/>
      <c r="AS878" s="537"/>
      <c r="AT878" s="35"/>
      <c r="AU878" s="912"/>
      <c r="AV878" s="901"/>
      <c r="AW878" s="231"/>
      <c r="AX878" s="11"/>
      <c r="AY878" s="224"/>
      <c r="AZ878" s="52"/>
      <c r="BA878" s="231"/>
      <c r="BB878" s="5"/>
      <c r="BC878" s="5"/>
      <c r="BD878" s="11"/>
      <c r="BE878" s="231"/>
      <c r="BF878" s="509"/>
      <c r="BG878" s="5"/>
      <c r="BH878" s="5"/>
      <c r="BI878" s="5"/>
      <c r="BJ878" s="64"/>
      <c r="BK878" s="203"/>
      <c r="BL878" s="1129"/>
      <c r="BM878" s="1418"/>
      <c r="BN878" s="1419"/>
      <c r="BO878" s="1419"/>
      <c r="BP878" s="1420"/>
      <c r="BQ878" s="1420"/>
      <c r="BR878" s="1420"/>
      <c r="BS878" s="1420"/>
      <c r="BT878" s="1420"/>
      <c r="BU878" s="1420"/>
      <c r="BV878" s="1421"/>
      <c r="BW878" s="923"/>
      <c r="BX878" s="13"/>
      <c r="BY878" s="22"/>
      <c r="BZ878" s="22"/>
      <c r="CA878" s="22"/>
      <c r="CB878" s="22"/>
      <c r="CC878" s="22"/>
      <c r="CD878" s="22"/>
      <c r="CE878" s="1246" t="s">
        <v>6558</v>
      </c>
      <c r="CF878" s="866"/>
    </row>
    <row r="879" spans="1:84" ht="34.5" customHeight="1">
      <c r="B879" s="22"/>
      <c r="C879" s="22"/>
      <c r="D879" s="22"/>
      <c r="E879" s="921"/>
      <c r="F879" s="921"/>
      <c r="G879" s="925"/>
      <c r="H879" s="1793"/>
      <c r="I879" s="331"/>
      <c r="J879" s="331"/>
      <c r="K879" s="169">
        <v>2025</v>
      </c>
      <c r="L879" s="1446"/>
      <c r="M879" s="1446"/>
      <c r="N879" s="170"/>
      <c r="O879" s="178" t="s">
        <v>6972</v>
      </c>
      <c r="P879" s="2033" t="s">
        <v>3970</v>
      </c>
      <c r="Q879" s="1215"/>
      <c r="R879" s="173"/>
      <c r="S879" s="1717"/>
      <c r="T879" s="175"/>
      <c r="U879" s="176"/>
      <c r="V879" s="177"/>
      <c r="W879" s="667"/>
      <c r="X879" s="1064"/>
      <c r="Y879" s="930"/>
      <c r="Z879" s="1728"/>
      <c r="AA879" s="1412"/>
      <c r="AB879" s="256"/>
      <c r="AC879" s="8"/>
      <c r="AD879" s="4"/>
      <c r="AE879" s="4"/>
      <c r="AF879" s="32"/>
      <c r="AG879" s="1422"/>
      <c r="AH879" s="608"/>
      <c r="AI879" s="608"/>
      <c r="AJ879" s="1423"/>
      <c r="AK879" s="1390"/>
      <c r="AL879" s="256"/>
      <c r="AM879" s="220"/>
      <c r="AN879" s="5"/>
      <c r="AO879" s="220"/>
      <c r="AP879" s="5"/>
      <c r="AQ879" s="220"/>
      <c r="AR879" s="5"/>
      <c r="AS879" s="537"/>
      <c r="AT879" s="35"/>
      <c r="AU879" s="912"/>
      <c r="AV879" s="901"/>
      <c r="AW879" s="231"/>
      <c r="AX879" s="11"/>
      <c r="AY879" s="224"/>
      <c r="AZ879" s="52"/>
      <c r="BA879" s="231"/>
      <c r="BB879" s="5"/>
      <c r="BC879" s="5"/>
      <c r="BD879" s="11"/>
      <c r="BE879" s="231"/>
      <c r="BF879" s="509"/>
      <c r="BG879" s="5"/>
      <c r="BH879" s="5"/>
      <c r="BI879" s="5"/>
      <c r="BJ879" s="64"/>
      <c r="BK879" s="203"/>
      <c r="BL879" s="1129"/>
      <c r="BM879" s="1418"/>
      <c r="BN879" s="1419"/>
      <c r="BO879" s="1419"/>
      <c r="BP879" s="1420"/>
      <c r="BQ879" s="1420"/>
      <c r="BR879" s="1420"/>
      <c r="BS879" s="1420"/>
      <c r="BT879" s="1420"/>
      <c r="BU879" s="1420"/>
      <c r="BV879" s="1421"/>
      <c r="BW879" s="923"/>
      <c r="BX879" s="13"/>
      <c r="BY879" s="22"/>
      <c r="BZ879" s="22"/>
      <c r="CA879" s="22"/>
      <c r="CB879" s="22"/>
      <c r="CC879" s="22"/>
      <c r="CD879" s="22"/>
      <c r="CE879" s="1246" t="s">
        <v>6558</v>
      </c>
      <c r="CF879" s="866"/>
    </row>
    <row r="880" spans="1:84" ht="93" customHeight="1">
      <c r="A880" s="1467"/>
      <c r="B880" s="22"/>
      <c r="C880" s="22"/>
      <c r="D880" s="22"/>
      <c r="E880" s="921"/>
      <c r="F880" s="921"/>
      <c r="G880" s="925"/>
      <c r="H880" s="1793"/>
      <c r="I880" s="331"/>
      <c r="J880" s="331"/>
      <c r="K880" s="169">
        <v>2025</v>
      </c>
      <c r="L880" s="1446"/>
      <c r="M880" s="1446"/>
      <c r="N880" s="170" t="s">
        <v>76</v>
      </c>
      <c r="O880" s="178" t="s">
        <v>6980</v>
      </c>
      <c r="P880" s="172" t="s">
        <v>78</v>
      </c>
      <c r="Q880" s="173" t="s">
        <v>6981</v>
      </c>
      <c r="R880" s="173" t="s">
        <v>3626</v>
      </c>
      <c r="S880" s="1717">
        <v>1338681.9099999999</v>
      </c>
      <c r="T880" s="175">
        <v>45761</v>
      </c>
      <c r="U880" s="176">
        <v>45768</v>
      </c>
      <c r="V880" s="177">
        <v>45809</v>
      </c>
      <c r="W880" s="105">
        <v>45761</v>
      </c>
      <c r="X880" s="178" t="s">
        <v>6982</v>
      </c>
      <c r="Y880" s="170" t="s">
        <v>6983</v>
      </c>
      <c r="Z880" s="1728"/>
      <c r="AA880" s="1412"/>
      <c r="AB880" s="256"/>
      <c r="AC880" s="8"/>
      <c r="AD880" s="4"/>
      <c r="AE880" s="4"/>
      <c r="AF880" s="32"/>
      <c r="AG880" s="1422"/>
      <c r="AH880" s="608"/>
      <c r="AI880" s="608"/>
      <c r="AJ880" s="1423"/>
      <c r="AK880" s="1390"/>
      <c r="AL880" s="256"/>
      <c r="AM880" s="220"/>
      <c r="AN880" s="5"/>
      <c r="AO880" s="220"/>
      <c r="AP880" s="5"/>
      <c r="AQ880" s="220"/>
      <c r="AR880" s="5"/>
      <c r="AS880" s="537"/>
      <c r="AT880" s="35"/>
      <c r="AU880" s="912"/>
      <c r="AV880" s="901"/>
      <c r="AW880" s="231"/>
      <c r="AX880" s="11"/>
      <c r="AY880" s="224"/>
      <c r="AZ880" s="52"/>
      <c r="BA880" s="231"/>
      <c r="BB880" s="5"/>
      <c r="BC880" s="5"/>
      <c r="BD880" s="11"/>
      <c r="BE880" s="231"/>
      <c r="BF880" s="509"/>
      <c r="BG880" s="5"/>
      <c r="BH880" s="5"/>
      <c r="BI880" s="5"/>
      <c r="BJ880" s="64"/>
      <c r="BK880" s="203"/>
      <c r="BL880" s="1129"/>
      <c r="BM880" s="1418"/>
      <c r="BN880" s="1419"/>
      <c r="BO880" s="1419"/>
      <c r="BP880" s="1420"/>
      <c r="BQ880" s="1420"/>
      <c r="BR880" s="1420"/>
      <c r="BS880" s="1420"/>
      <c r="BT880" s="1420"/>
      <c r="BU880" s="1420"/>
      <c r="BV880" s="1421"/>
      <c r="BW880" s="923"/>
      <c r="BX880" s="13"/>
      <c r="BY880" s="22"/>
      <c r="BZ880" s="22"/>
      <c r="CA880" s="22"/>
      <c r="CB880" s="22"/>
      <c r="CC880" s="22"/>
      <c r="CD880" s="22"/>
      <c r="CE880" s="1246" t="s">
        <v>6558</v>
      </c>
      <c r="CF880" s="866"/>
    </row>
    <row r="881" spans="1:84" ht="34.5" customHeight="1">
      <c r="B881" s="22"/>
      <c r="C881" s="22"/>
      <c r="D881" s="22"/>
      <c r="E881" s="921"/>
      <c r="F881" s="921"/>
      <c r="G881" s="925"/>
      <c r="H881" s="1793"/>
      <c r="I881" s="331"/>
      <c r="J881" s="331"/>
      <c r="K881" s="169">
        <v>2025</v>
      </c>
      <c r="L881" s="1446"/>
      <c r="M881" s="1446"/>
      <c r="N881" s="170"/>
      <c r="O881" s="178" t="s">
        <v>6973</v>
      </c>
      <c r="P881" s="2033" t="s">
        <v>3970</v>
      </c>
      <c r="Q881" s="1215"/>
      <c r="R881" s="173"/>
      <c r="S881" s="1717"/>
      <c r="T881" s="175"/>
      <c r="U881" s="176"/>
      <c r="V881" s="177"/>
      <c r="W881" s="667"/>
      <c r="X881" s="1064"/>
      <c r="Y881" s="930"/>
      <c r="Z881" s="1728"/>
      <c r="AA881" s="1412"/>
      <c r="AB881" s="256"/>
      <c r="AC881" s="8"/>
      <c r="AD881" s="4"/>
      <c r="AE881" s="4"/>
      <c r="AF881" s="32"/>
      <c r="AG881" s="1422"/>
      <c r="AH881" s="608"/>
      <c r="AI881" s="608"/>
      <c r="AJ881" s="1423"/>
      <c r="AK881" s="1390"/>
      <c r="AL881" s="256"/>
      <c r="AM881" s="220"/>
      <c r="AN881" s="5"/>
      <c r="AO881" s="220"/>
      <c r="AP881" s="5"/>
      <c r="AQ881" s="220"/>
      <c r="AR881" s="5"/>
      <c r="AS881" s="537"/>
      <c r="AT881" s="35"/>
      <c r="AU881" s="912"/>
      <c r="AV881" s="901"/>
      <c r="AW881" s="231"/>
      <c r="AX881" s="11"/>
      <c r="AY881" s="224"/>
      <c r="AZ881" s="52"/>
      <c r="BA881" s="231"/>
      <c r="BB881" s="5"/>
      <c r="BC881" s="5"/>
      <c r="BD881" s="11"/>
      <c r="BE881" s="231"/>
      <c r="BF881" s="509"/>
      <c r="BG881" s="5"/>
      <c r="BH881" s="5"/>
      <c r="BI881" s="5"/>
      <c r="BJ881" s="64"/>
      <c r="BK881" s="203"/>
      <c r="BL881" s="1129"/>
      <c r="BM881" s="1418"/>
      <c r="BN881" s="1419"/>
      <c r="BO881" s="1419"/>
      <c r="BP881" s="1420"/>
      <c r="BQ881" s="1420"/>
      <c r="BR881" s="1420"/>
      <c r="BS881" s="1420"/>
      <c r="BT881" s="1420"/>
      <c r="BU881" s="1420"/>
      <c r="BV881" s="1421"/>
      <c r="BW881" s="923"/>
      <c r="BX881" s="13"/>
      <c r="BY881" s="22"/>
      <c r="BZ881" s="22"/>
      <c r="CA881" s="22"/>
      <c r="CB881" s="22"/>
      <c r="CC881" s="22"/>
      <c r="CD881" s="22"/>
      <c r="CE881" s="1246" t="s">
        <v>6558</v>
      </c>
      <c r="CF881" s="866"/>
    </row>
    <row r="882" spans="1:84" ht="34.5" customHeight="1">
      <c r="B882" s="22"/>
      <c r="C882" s="22"/>
      <c r="D882" s="22"/>
      <c r="E882" s="921"/>
      <c r="F882" s="921"/>
      <c r="G882" s="925"/>
      <c r="H882" s="1793"/>
      <c r="I882" s="331"/>
      <c r="J882" s="331"/>
      <c r="K882" s="169">
        <v>2025</v>
      </c>
      <c r="L882" s="1446"/>
      <c r="M882" s="1446"/>
      <c r="N882" s="170"/>
      <c r="O882" s="178" t="s">
        <v>6974</v>
      </c>
      <c r="P882" s="2033" t="s">
        <v>3970</v>
      </c>
      <c r="Q882" s="1215"/>
      <c r="R882" s="173"/>
      <c r="S882" s="1717"/>
      <c r="T882" s="175"/>
      <c r="U882" s="176"/>
      <c r="V882" s="177"/>
      <c r="W882" s="667"/>
      <c r="X882" s="1064"/>
      <c r="Y882" s="930"/>
      <c r="Z882" s="1728"/>
      <c r="AA882" s="1412"/>
      <c r="AB882" s="256"/>
      <c r="AC882" s="8"/>
      <c r="AD882" s="4"/>
      <c r="AE882" s="4"/>
      <c r="AF882" s="32"/>
      <c r="AG882" s="1422"/>
      <c r="AH882" s="608"/>
      <c r="AI882" s="608"/>
      <c r="AJ882" s="1423"/>
      <c r="AK882" s="1390"/>
      <c r="AL882" s="256"/>
      <c r="AM882" s="220"/>
      <c r="AN882" s="5"/>
      <c r="AO882" s="220"/>
      <c r="AP882" s="5"/>
      <c r="AQ882" s="220"/>
      <c r="AR882" s="5"/>
      <c r="AS882" s="537"/>
      <c r="AT882" s="35"/>
      <c r="AU882" s="912"/>
      <c r="AV882" s="901"/>
      <c r="AW882" s="231"/>
      <c r="AX882" s="11"/>
      <c r="AY882" s="224"/>
      <c r="AZ882" s="52"/>
      <c r="BA882" s="231"/>
      <c r="BB882" s="5"/>
      <c r="BC882" s="5"/>
      <c r="BD882" s="11"/>
      <c r="BE882" s="231"/>
      <c r="BF882" s="509"/>
      <c r="BG882" s="5"/>
      <c r="BH882" s="5"/>
      <c r="BI882" s="5"/>
      <c r="BJ882" s="64"/>
      <c r="BK882" s="203"/>
      <c r="BL882" s="1129"/>
      <c r="BM882" s="1418"/>
      <c r="BN882" s="1419"/>
      <c r="BO882" s="1419"/>
      <c r="BP882" s="1420"/>
      <c r="BQ882" s="1420"/>
      <c r="BR882" s="1420"/>
      <c r="BS882" s="1420"/>
      <c r="BT882" s="1420"/>
      <c r="BU882" s="1420"/>
      <c r="BV882" s="1421"/>
      <c r="BW882" s="923"/>
      <c r="BX882" s="13"/>
      <c r="BY882" s="22"/>
      <c r="BZ882" s="22"/>
      <c r="CA882" s="22"/>
      <c r="CB882" s="22"/>
      <c r="CC882" s="22"/>
      <c r="CD882" s="22"/>
      <c r="CE882" s="1246" t="s">
        <v>6558</v>
      </c>
      <c r="CF882" s="866"/>
    </row>
    <row r="883" spans="1:84" ht="34.5" customHeight="1">
      <c r="B883" s="22"/>
      <c r="C883" s="22"/>
      <c r="D883" s="22"/>
      <c r="E883" s="921"/>
      <c r="F883" s="921"/>
      <c r="G883" s="925"/>
      <c r="H883" s="1793"/>
      <c r="I883" s="331"/>
      <c r="J883" s="331"/>
      <c r="K883" s="169">
        <v>2025</v>
      </c>
      <c r="L883" s="1446"/>
      <c r="M883" s="1446"/>
      <c r="N883" s="170"/>
      <c r="O883" s="178" t="s">
        <v>6975</v>
      </c>
      <c r="P883" s="2033" t="s">
        <v>3970</v>
      </c>
      <c r="Q883" s="1215"/>
      <c r="R883" s="173"/>
      <c r="S883" s="1717"/>
      <c r="T883" s="175"/>
      <c r="U883" s="176"/>
      <c r="V883" s="177"/>
      <c r="W883" s="667"/>
      <c r="X883" s="1064"/>
      <c r="Y883" s="930"/>
      <c r="Z883" s="1728"/>
      <c r="AA883" s="1412"/>
      <c r="AB883" s="256"/>
      <c r="AC883" s="8"/>
      <c r="AD883" s="4"/>
      <c r="AE883" s="4"/>
      <c r="AF883" s="32"/>
      <c r="AG883" s="1422"/>
      <c r="AH883" s="608"/>
      <c r="AI883" s="608"/>
      <c r="AJ883" s="1423"/>
      <c r="AK883" s="1390"/>
      <c r="AL883" s="256"/>
      <c r="AM883" s="220"/>
      <c r="AN883" s="5"/>
      <c r="AO883" s="220"/>
      <c r="AP883" s="5"/>
      <c r="AQ883" s="220"/>
      <c r="AR883" s="5"/>
      <c r="AS883" s="537"/>
      <c r="AT883" s="35"/>
      <c r="AU883" s="912"/>
      <c r="AV883" s="901"/>
      <c r="AW883" s="231"/>
      <c r="AX883" s="11"/>
      <c r="AY883" s="224"/>
      <c r="AZ883" s="52"/>
      <c r="BA883" s="231"/>
      <c r="BB883" s="5"/>
      <c r="BC883" s="5"/>
      <c r="BD883" s="11"/>
      <c r="BE883" s="231"/>
      <c r="BF883" s="509"/>
      <c r="BG883" s="5"/>
      <c r="BH883" s="5"/>
      <c r="BI883" s="5"/>
      <c r="BJ883" s="64"/>
      <c r="BK883" s="203"/>
      <c r="BL883" s="1129"/>
      <c r="BM883" s="1418"/>
      <c r="BN883" s="1419"/>
      <c r="BO883" s="1419"/>
      <c r="BP883" s="1420"/>
      <c r="BQ883" s="1420"/>
      <c r="BR883" s="1420"/>
      <c r="BS883" s="1420"/>
      <c r="BT883" s="1420"/>
      <c r="BU883" s="1420"/>
      <c r="BV883" s="1421"/>
      <c r="BW883" s="923"/>
      <c r="BX883" s="13"/>
      <c r="BY883" s="22"/>
      <c r="BZ883" s="22"/>
      <c r="CA883" s="22"/>
      <c r="CB883" s="22"/>
      <c r="CC883" s="22"/>
      <c r="CD883" s="22"/>
      <c r="CE883" s="1246" t="s">
        <v>6558</v>
      </c>
      <c r="CF883" s="866"/>
    </row>
    <row r="884" spans="1:84" ht="34.5" customHeight="1">
      <c r="B884" s="22"/>
      <c r="C884" s="22"/>
      <c r="D884" s="22"/>
      <c r="E884" s="921"/>
      <c r="F884" s="921"/>
      <c r="G884" s="925"/>
      <c r="H884" s="1793"/>
      <c r="I884" s="331"/>
      <c r="J884" s="331"/>
      <c r="K884" s="169">
        <v>2025</v>
      </c>
      <c r="L884" s="1446"/>
      <c r="M884" s="1446"/>
      <c r="N884" s="170"/>
      <c r="O884" s="178" t="s">
        <v>6976</v>
      </c>
      <c r="P884" s="2033" t="s">
        <v>3970</v>
      </c>
      <c r="Q884" s="1215"/>
      <c r="R884" s="173"/>
      <c r="S884" s="1717"/>
      <c r="T884" s="175"/>
      <c r="U884" s="176"/>
      <c r="V884" s="177"/>
      <c r="W884" s="667"/>
      <c r="X884" s="1064"/>
      <c r="Y884" s="930"/>
      <c r="Z884" s="1728"/>
      <c r="AA884" s="1412"/>
      <c r="AB884" s="256"/>
      <c r="AC884" s="8"/>
      <c r="AD884" s="4"/>
      <c r="AE884" s="4"/>
      <c r="AF884" s="32"/>
      <c r="AG884" s="1422"/>
      <c r="AH884" s="608"/>
      <c r="AI884" s="608"/>
      <c r="AJ884" s="1423"/>
      <c r="AK884" s="1390"/>
      <c r="AL884" s="256"/>
      <c r="AM884" s="220"/>
      <c r="AN884" s="5"/>
      <c r="AO884" s="220"/>
      <c r="AP884" s="5"/>
      <c r="AQ884" s="220"/>
      <c r="AR884" s="5"/>
      <c r="AS884" s="537"/>
      <c r="AT884" s="35"/>
      <c r="AU884" s="912"/>
      <c r="AV884" s="901"/>
      <c r="AW884" s="231"/>
      <c r="AX884" s="11"/>
      <c r="AY884" s="224"/>
      <c r="AZ884" s="52"/>
      <c r="BA884" s="231"/>
      <c r="BB884" s="5"/>
      <c r="BC884" s="5"/>
      <c r="BD884" s="11"/>
      <c r="BE884" s="231"/>
      <c r="BF884" s="509"/>
      <c r="BG884" s="5"/>
      <c r="BH884" s="5"/>
      <c r="BI884" s="5"/>
      <c r="BJ884" s="64"/>
      <c r="BK884" s="203"/>
      <c r="BL884" s="1129"/>
      <c r="BM884" s="1418"/>
      <c r="BN884" s="1419"/>
      <c r="BO884" s="1419"/>
      <c r="BP884" s="1420"/>
      <c r="BQ884" s="1420"/>
      <c r="BR884" s="1420"/>
      <c r="BS884" s="1420"/>
      <c r="BT884" s="1420"/>
      <c r="BU884" s="1420"/>
      <c r="BV884" s="1421"/>
      <c r="BW884" s="923"/>
      <c r="BX884" s="13"/>
      <c r="BY884" s="22"/>
      <c r="BZ884" s="22"/>
      <c r="CA884" s="22"/>
      <c r="CB884" s="22"/>
      <c r="CC884" s="22"/>
      <c r="CD884" s="22"/>
      <c r="CE884" s="1246" t="s">
        <v>6558</v>
      </c>
      <c r="CF884" s="866"/>
    </row>
    <row r="885" spans="1:84" ht="34.5" customHeight="1">
      <c r="B885" s="22"/>
      <c r="C885" s="22"/>
      <c r="D885" s="22"/>
      <c r="E885" s="921"/>
      <c r="F885" s="921"/>
      <c r="G885" s="925"/>
      <c r="H885" s="1793"/>
      <c r="I885" s="331"/>
      <c r="J885" s="331"/>
      <c r="K885" s="169">
        <v>2025</v>
      </c>
      <c r="L885" s="1446"/>
      <c r="M885" s="1446"/>
      <c r="N885" s="170"/>
      <c r="O885" s="178" t="s">
        <v>6977</v>
      </c>
      <c r="P885" s="2033" t="s">
        <v>3970</v>
      </c>
      <c r="Q885" s="1215"/>
      <c r="R885" s="173"/>
      <c r="S885" s="1717"/>
      <c r="T885" s="175"/>
      <c r="U885" s="176"/>
      <c r="V885" s="177"/>
      <c r="W885" s="667"/>
      <c r="X885" s="1064"/>
      <c r="Y885" s="930"/>
      <c r="Z885" s="1728"/>
      <c r="AA885" s="1412"/>
      <c r="AB885" s="256"/>
      <c r="AC885" s="8"/>
      <c r="AD885" s="4"/>
      <c r="AE885" s="4"/>
      <c r="AF885" s="32"/>
      <c r="AG885" s="1422"/>
      <c r="AH885" s="608"/>
      <c r="AI885" s="608"/>
      <c r="AJ885" s="1423"/>
      <c r="AK885" s="1390"/>
      <c r="AL885" s="256"/>
      <c r="AM885" s="220"/>
      <c r="AN885" s="5"/>
      <c r="AO885" s="220"/>
      <c r="AP885" s="5"/>
      <c r="AQ885" s="220"/>
      <c r="AR885" s="5"/>
      <c r="AS885" s="537"/>
      <c r="AT885" s="35"/>
      <c r="AU885" s="912"/>
      <c r="AV885" s="901"/>
      <c r="AW885" s="231"/>
      <c r="AX885" s="11"/>
      <c r="AY885" s="224"/>
      <c r="AZ885" s="52"/>
      <c r="BA885" s="231"/>
      <c r="BB885" s="5"/>
      <c r="BC885" s="5"/>
      <c r="BD885" s="11"/>
      <c r="BE885" s="231"/>
      <c r="BF885" s="509"/>
      <c r="BG885" s="5"/>
      <c r="BH885" s="5"/>
      <c r="BI885" s="5"/>
      <c r="BJ885" s="64"/>
      <c r="BK885" s="203"/>
      <c r="BL885" s="1129"/>
      <c r="BM885" s="1418"/>
      <c r="BN885" s="1419"/>
      <c r="BO885" s="1419"/>
      <c r="BP885" s="1420"/>
      <c r="BQ885" s="1420"/>
      <c r="BR885" s="1420"/>
      <c r="BS885" s="1420"/>
      <c r="BT885" s="1420"/>
      <c r="BU885" s="1420"/>
      <c r="BV885" s="1421"/>
      <c r="BW885" s="923"/>
      <c r="BX885" s="13"/>
      <c r="BY885" s="22"/>
      <c r="BZ885" s="22"/>
      <c r="CA885" s="22"/>
      <c r="CB885" s="22"/>
      <c r="CC885" s="22"/>
      <c r="CD885" s="22"/>
      <c r="CE885" s="1246" t="s">
        <v>6558</v>
      </c>
      <c r="CF885" s="866"/>
    </row>
    <row r="886" spans="1:84" ht="34.5" customHeight="1">
      <c r="B886" s="22"/>
      <c r="C886" s="22"/>
      <c r="D886" s="22"/>
      <c r="E886" s="921"/>
      <c r="F886" s="921"/>
      <c r="G886" s="925"/>
      <c r="H886" s="1793"/>
      <c r="I886" s="331"/>
      <c r="J886" s="331"/>
      <c r="K886" s="169">
        <v>2025</v>
      </c>
      <c r="L886" s="1446"/>
      <c r="M886" s="1446"/>
      <c r="N886" s="170"/>
      <c r="O886" s="178" t="s">
        <v>6978</v>
      </c>
      <c r="P886" s="2033" t="s">
        <v>3970</v>
      </c>
      <c r="Q886" s="1215"/>
      <c r="R886" s="173"/>
      <c r="S886" s="1717"/>
      <c r="T886" s="175"/>
      <c r="U886" s="176"/>
      <c r="V886" s="177"/>
      <c r="W886" s="667"/>
      <c r="X886" s="1064"/>
      <c r="Y886" s="930"/>
      <c r="Z886" s="1728"/>
      <c r="AA886" s="1412"/>
      <c r="AB886" s="256"/>
      <c r="AC886" s="8"/>
      <c r="AD886" s="4"/>
      <c r="AE886" s="4"/>
      <c r="AF886" s="32"/>
      <c r="AG886" s="1422"/>
      <c r="AH886" s="608"/>
      <c r="AI886" s="608"/>
      <c r="AJ886" s="1423"/>
      <c r="AK886" s="1390"/>
      <c r="AL886" s="256"/>
      <c r="AM886" s="220"/>
      <c r="AN886" s="5"/>
      <c r="AO886" s="220"/>
      <c r="AP886" s="5"/>
      <c r="AQ886" s="220"/>
      <c r="AR886" s="5"/>
      <c r="AS886" s="537"/>
      <c r="AT886" s="35"/>
      <c r="AU886" s="912"/>
      <c r="AV886" s="901"/>
      <c r="AW886" s="231"/>
      <c r="AX886" s="11"/>
      <c r="AY886" s="224"/>
      <c r="AZ886" s="52"/>
      <c r="BA886" s="231"/>
      <c r="BB886" s="5"/>
      <c r="BC886" s="5"/>
      <c r="BD886" s="11"/>
      <c r="BE886" s="231"/>
      <c r="BF886" s="509"/>
      <c r="BG886" s="5"/>
      <c r="BH886" s="5"/>
      <c r="BI886" s="5"/>
      <c r="BJ886" s="64"/>
      <c r="BK886" s="203"/>
      <c r="BL886" s="1129"/>
      <c r="BM886" s="1418"/>
      <c r="BN886" s="1419"/>
      <c r="BO886" s="1419"/>
      <c r="BP886" s="1420"/>
      <c r="BQ886" s="1420"/>
      <c r="BR886" s="1420"/>
      <c r="BS886" s="1420"/>
      <c r="BT886" s="1420"/>
      <c r="BU886" s="1420"/>
      <c r="BV886" s="1421"/>
      <c r="BW886" s="923"/>
      <c r="BX886" s="13"/>
      <c r="BY886" s="22"/>
      <c r="BZ886" s="22"/>
      <c r="CA886" s="22"/>
      <c r="CB886" s="22"/>
      <c r="CC886" s="22"/>
      <c r="CD886" s="22"/>
      <c r="CE886" s="1246" t="s">
        <v>6558</v>
      </c>
      <c r="CF886" s="866"/>
    </row>
    <row r="887" spans="1:84" ht="34.5" customHeight="1">
      <c r="B887" s="22"/>
      <c r="C887" s="22"/>
      <c r="D887" s="22"/>
      <c r="E887" s="921"/>
      <c r="F887" s="921"/>
      <c r="G887" s="925"/>
      <c r="H887" s="1793"/>
      <c r="I887" s="331"/>
      <c r="J887" s="331"/>
      <c r="K887" s="169">
        <v>2025</v>
      </c>
      <c r="L887" s="1446"/>
      <c r="M887" s="1446"/>
      <c r="N887" s="170"/>
      <c r="O887" s="178" t="s">
        <v>6979</v>
      </c>
      <c r="P887" s="2033" t="s">
        <v>3970</v>
      </c>
      <c r="Q887" s="1215"/>
      <c r="R887" s="173"/>
      <c r="S887" s="1717"/>
      <c r="T887" s="175"/>
      <c r="U887" s="176"/>
      <c r="V887" s="177"/>
      <c r="W887" s="667"/>
      <c r="X887" s="1064"/>
      <c r="Y887" s="930"/>
      <c r="Z887" s="1728"/>
      <c r="AA887" s="1412"/>
      <c r="AB887" s="256"/>
      <c r="AC887" s="8"/>
      <c r="AD887" s="4"/>
      <c r="AE887" s="4"/>
      <c r="AF887" s="32"/>
      <c r="AG887" s="1422"/>
      <c r="AH887" s="608"/>
      <c r="AI887" s="608"/>
      <c r="AJ887" s="1423"/>
      <c r="AK887" s="1390"/>
      <c r="AL887" s="256"/>
      <c r="AM887" s="220"/>
      <c r="AN887" s="5"/>
      <c r="AO887" s="220"/>
      <c r="AP887" s="5"/>
      <c r="AQ887" s="220"/>
      <c r="AR887" s="5"/>
      <c r="AS887" s="537"/>
      <c r="AT887" s="35"/>
      <c r="AU887" s="912"/>
      <c r="AV887" s="901"/>
      <c r="AW887" s="231"/>
      <c r="AX887" s="11"/>
      <c r="AY887" s="224"/>
      <c r="AZ887" s="52"/>
      <c r="BA887" s="231"/>
      <c r="BB887" s="5"/>
      <c r="BC887" s="5"/>
      <c r="BD887" s="11"/>
      <c r="BE887" s="231"/>
      <c r="BF887" s="509"/>
      <c r="BG887" s="5"/>
      <c r="BH887" s="5"/>
      <c r="BI887" s="5"/>
      <c r="BJ887" s="64"/>
      <c r="BK887" s="203"/>
      <c r="BL887" s="1129"/>
      <c r="BM887" s="1418"/>
      <c r="BN887" s="1419"/>
      <c r="BO887" s="1419"/>
      <c r="BP887" s="1420"/>
      <c r="BQ887" s="1420"/>
      <c r="BR887" s="1420"/>
      <c r="BS887" s="1420"/>
      <c r="BT887" s="1420"/>
      <c r="BU887" s="1420"/>
      <c r="BV887" s="1421"/>
      <c r="BW887" s="923"/>
      <c r="BX887" s="13"/>
      <c r="BY887" s="22"/>
      <c r="BZ887" s="22"/>
      <c r="CA887" s="22"/>
      <c r="CB887" s="22"/>
      <c r="CC887" s="22"/>
      <c r="CD887" s="22"/>
      <c r="CE887" s="1246" t="s">
        <v>6558</v>
      </c>
      <c r="CF887" s="866"/>
    </row>
    <row r="888" spans="1:84" ht="34.5" customHeight="1">
      <c r="A888" s="1467"/>
      <c r="B888" s="22"/>
      <c r="C888" s="22"/>
      <c r="D888" s="22"/>
      <c r="E888" s="921"/>
      <c r="F888" s="921"/>
      <c r="G888" s="925"/>
      <c r="H888" s="1793"/>
      <c r="I888" s="331"/>
      <c r="J888" s="331"/>
      <c r="K888" s="169"/>
      <c r="L888" s="1446"/>
      <c r="M888" s="1446"/>
      <c r="N888" s="170"/>
      <c r="O888" s="178"/>
      <c r="P888" s="172"/>
      <c r="Q888" s="1215"/>
      <c r="R888" s="173"/>
      <c r="S888" s="1717"/>
      <c r="T888" s="175"/>
      <c r="U888" s="176"/>
      <c r="V888" s="177"/>
      <c r="W888" s="667"/>
      <c r="X888" s="1064"/>
      <c r="Y888" s="930"/>
      <c r="Z888" s="1728"/>
      <c r="AA888" s="1412"/>
      <c r="AB888" s="256"/>
      <c r="AC888" s="8"/>
      <c r="AD888" s="4"/>
      <c r="AE888" s="4"/>
      <c r="AF888" s="32"/>
      <c r="AG888" s="1422"/>
      <c r="AH888" s="608"/>
      <c r="AI888" s="608"/>
      <c r="AJ888" s="1423"/>
      <c r="AK888" s="1390"/>
      <c r="AL888" s="256"/>
      <c r="AM888" s="220"/>
      <c r="AN888" s="5"/>
      <c r="AO888" s="220"/>
      <c r="AP888" s="5"/>
      <c r="AQ888" s="220"/>
      <c r="AR888" s="5"/>
      <c r="AS888" s="537"/>
      <c r="AT888" s="35"/>
      <c r="AU888" s="912"/>
      <c r="AV888" s="901"/>
      <c r="AW888" s="231"/>
      <c r="AX888" s="11"/>
      <c r="AY888" s="224"/>
      <c r="AZ888" s="52"/>
      <c r="BA888" s="231"/>
      <c r="BB888" s="5"/>
      <c r="BC888" s="5"/>
      <c r="BD888" s="11"/>
      <c r="BE888" s="231"/>
      <c r="BF888" s="509"/>
      <c r="BG888" s="5"/>
      <c r="BH888" s="5"/>
      <c r="BI888" s="5"/>
      <c r="BJ888" s="64"/>
      <c r="BK888" s="203"/>
      <c r="BL888" s="1129"/>
      <c r="BM888" s="1418"/>
      <c r="BN888" s="1419"/>
      <c r="BO888" s="1419"/>
      <c r="BP888" s="1420"/>
      <c r="BQ888" s="1420"/>
      <c r="BR888" s="1420"/>
      <c r="BS888" s="1420"/>
      <c r="BT888" s="1420"/>
      <c r="BU888" s="1420"/>
      <c r="BV888" s="1421"/>
      <c r="BW888" s="923"/>
      <c r="BX888" s="13"/>
      <c r="BY888" s="22"/>
      <c r="BZ888" s="22"/>
      <c r="CA888" s="22"/>
      <c r="CB888" s="22"/>
      <c r="CC888" s="22"/>
      <c r="CD888" s="22"/>
      <c r="CE888" s="1246"/>
      <c r="CF888" s="866"/>
    </row>
    <row r="889" spans="1:84" ht="34.5" customHeight="1">
      <c r="A889" s="1467"/>
      <c r="B889" s="22"/>
      <c r="C889" s="22"/>
      <c r="D889" s="22"/>
      <c r="E889" s="921"/>
      <c r="F889" s="921"/>
      <c r="G889" s="925"/>
      <c r="H889" s="1793"/>
      <c r="I889" s="331"/>
      <c r="J889" s="331"/>
      <c r="K889" s="169"/>
      <c r="L889" s="1446"/>
      <c r="M889" s="1446"/>
      <c r="N889" s="170"/>
      <c r="O889" s="178"/>
      <c r="P889" s="172"/>
      <c r="Q889" s="1215"/>
      <c r="R889" s="173"/>
      <c r="S889" s="1717"/>
      <c r="T889" s="175"/>
      <c r="U889" s="176"/>
      <c r="V889" s="177"/>
      <c r="W889" s="667"/>
      <c r="X889" s="1064"/>
      <c r="Y889" s="930"/>
      <c r="Z889" s="1728"/>
      <c r="AA889" s="1412"/>
      <c r="AB889" s="256"/>
      <c r="AC889" s="8"/>
      <c r="AD889" s="4"/>
      <c r="AE889" s="4"/>
      <c r="AF889" s="32"/>
      <c r="AG889" s="1422"/>
      <c r="AH889" s="608"/>
      <c r="AI889" s="608"/>
      <c r="AJ889" s="1423"/>
      <c r="AK889" s="1390"/>
      <c r="AL889" s="256"/>
      <c r="AM889" s="220"/>
      <c r="AN889" s="5"/>
      <c r="AO889" s="220"/>
      <c r="AP889" s="5"/>
      <c r="AQ889" s="220"/>
      <c r="AR889" s="5"/>
      <c r="AS889" s="537"/>
      <c r="AT889" s="35"/>
      <c r="AU889" s="912"/>
      <c r="AV889" s="901"/>
      <c r="AW889" s="231"/>
      <c r="AX889" s="11"/>
      <c r="AY889" s="224"/>
      <c r="AZ889" s="52"/>
      <c r="BA889" s="231"/>
      <c r="BB889" s="5"/>
      <c r="BC889" s="5"/>
      <c r="BD889" s="11"/>
      <c r="BE889" s="231"/>
      <c r="BF889" s="509"/>
      <c r="BG889" s="5"/>
      <c r="BH889" s="5"/>
      <c r="BI889" s="5"/>
      <c r="BJ889" s="64"/>
      <c r="BK889" s="203"/>
      <c r="BL889" s="1129"/>
      <c r="BM889" s="1418"/>
      <c r="BN889" s="1419"/>
      <c r="BO889" s="1419"/>
      <c r="BP889" s="1420"/>
      <c r="BQ889" s="1420"/>
      <c r="BR889" s="1420"/>
      <c r="BS889" s="1420"/>
      <c r="BT889" s="1420"/>
      <c r="BU889" s="1420"/>
      <c r="BV889" s="1421"/>
      <c r="BW889" s="923"/>
      <c r="BX889" s="13"/>
      <c r="BY889" s="22"/>
      <c r="BZ889" s="22"/>
      <c r="CA889" s="22"/>
      <c r="CB889" s="22"/>
      <c r="CC889" s="22"/>
      <c r="CD889" s="22"/>
      <c r="CE889" s="1246"/>
      <c r="CF889" s="866"/>
    </row>
    <row r="890" spans="1:84" ht="34.5" customHeight="1">
      <c r="A890" s="1467"/>
      <c r="B890" s="22"/>
      <c r="C890" s="22"/>
      <c r="D890" s="22"/>
      <c r="E890" s="921"/>
      <c r="F890" s="921"/>
      <c r="G890" s="925"/>
      <c r="H890" s="1793"/>
      <c r="I890" s="331"/>
      <c r="J890" s="331"/>
      <c r="K890" s="169"/>
      <c r="L890" s="1446"/>
      <c r="M890" s="1446"/>
      <c r="N890" s="170"/>
      <c r="O890" s="178"/>
      <c r="P890" s="172"/>
      <c r="Q890" s="1215"/>
      <c r="R890" s="173"/>
      <c r="S890" s="1717"/>
      <c r="T890" s="175"/>
      <c r="U890" s="176"/>
      <c r="V890" s="177"/>
      <c r="W890" s="667"/>
      <c r="X890" s="1064"/>
      <c r="Y890" s="930"/>
      <c r="Z890" s="1728"/>
      <c r="AA890" s="1412"/>
      <c r="AB890" s="256"/>
      <c r="AC890" s="8"/>
      <c r="AD890" s="4"/>
      <c r="AE890" s="4"/>
      <c r="AF890" s="32"/>
      <c r="AG890" s="1422"/>
      <c r="AH890" s="608"/>
      <c r="AI890" s="608"/>
      <c r="AJ890" s="1423"/>
      <c r="AK890" s="1390"/>
      <c r="AL890" s="256"/>
      <c r="AM890" s="220"/>
      <c r="AN890" s="5"/>
      <c r="AO890" s="220"/>
      <c r="AP890" s="5"/>
      <c r="AQ890" s="220"/>
      <c r="AR890" s="5"/>
      <c r="AS890" s="537"/>
      <c r="AT890" s="35"/>
      <c r="AU890" s="912"/>
      <c r="AV890" s="901"/>
      <c r="AW890" s="231"/>
      <c r="AX890" s="11"/>
      <c r="AY890" s="224"/>
      <c r="AZ890" s="52"/>
      <c r="BA890" s="231"/>
      <c r="BB890" s="5"/>
      <c r="BC890" s="5"/>
      <c r="BD890" s="11"/>
      <c r="BE890" s="231"/>
      <c r="BF890" s="509"/>
      <c r="BG890" s="5"/>
      <c r="BH890" s="5"/>
      <c r="BI890" s="5"/>
      <c r="BJ890" s="64"/>
      <c r="BK890" s="203"/>
      <c r="BL890" s="1129"/>
      <c r="BM890" s="1418"/>
      <c r="BN890" s="1419"/>
      <c r="BO890" s="1419"/>
      <c r="BP890" s="1420"/>
      <c r="BQ890" s="1420"/>
      <c r="BR890" s="1420"/>
      <c r="BS890" s="1420"/>
      <c r="BT890" s="1420"/>
      <c r="BU890" s="1420"/>
      <c r="BV890" s="1421"/>
      <c r="BW890" s="923"/>
      <c r="BX890" s="13"/>
      <c r="BY890" s="22"/>
      <c r="BZ890" s="22"/>
      <c r="CA890" s="22"/>
      <c r="CB890" s="22"/>
      <c r="CC890" s="22"/>
      <c r="CD890" s="22"/>
      <c r="CE890" s="1246"/>
      <c r="CF890" s="866"/>
    </row>
    <row r="891" spans="1:84" ht="34.5" customHeight="1">
      <c r="A891" s="1467"/>
      <c r="B891" s="22"/>
      <c r="C891" s="22"/>
      <c r="D891" s="22"/>
      <c r="E891" s="921"/>
      <c r="F891" s="921"/>
      <c r="G891" s="925"/>
      <c r="H891" s="1793"/>
      <c r="I891" s="331"/>
      <c r="J891" s="331"/>
      <c r="K891" s="169"/>
      <c r="L891" s="1446"/>
      <c r="M891" s="1446"/>
      <c r="N891" s="170"/>
      <c r="O891" s="178"/>
      <c r="P891" s="172"/>
      <c r="Q891" s="1215"/>
      <c r="R891" s="173"/>
      <c r="S891" s="1717"/>
      <c r="T891" s="175"/>
      <c r="U891" s="176"/>
      <c r="V891" s="177"/>
      <c r="W891" s="667"/>
      <c r="X891" s="1064"/>
      <c r="Y891" s="930"/>
      <c r="Z891" s="1728"/>
      <c r="AA891" s="1412"/>
      <c r="AB891" s="256"/>
      <c r="AC891" s="8"/>
      <c r="AD891" s="4"/>
      <c r="AE891" s="4"/>
      <c r="AF891" s="32"/>
      <c r="AG891" s="1422"/>
      <c r="AH891" s="608"/>
      <c r="AI891" s="608"/>
      <c r="AJ891" s="1423"/>
      <c r="AK891" s="1390"/>
      <c r="AL891" s="256"/>
      <c r="AM891" s="220"/>
      <c r="AN891" s="5"/>
      <c r="AO891" s="220"/>
      <c r="AP891" s="5"/>
      <c r="AQ891" s="220"/>
      <c r="AR891" s="5"/>
      <c r="AS891" s="537"/>
      <c r="AT891" s="35"/>
      <c r="AU891" s="912"/>
      <c r="AV891" s="901"/>
      <c r="AW891" s="231"/>
      <c r="AX891" s="11"/>
      <c r="AY891" s="224"/>
      <c r="AZ891" s="52"/>
      <c r="BA891" s="231"/>
      <c r="BB891" s="5"/>
      <c r="BC891" s="5"/>
      <c r="BD891" s="11"/>
      <c r="BE891" s="231"/>
      <c r="BF891" s="509"/>
      <c r="BG891" s="5"/>
      <c r="BH891" s="5"/>
      <c r="BI891" s="5"/>
      <c r="BJ891" s="64"/>
      <c r="BK891" s="203"/>
      <c r="BL891" s="1129"/>
      <c r="BM891" s="1418"/>
      <c r="BN891" s="1419"/>
      <c r="BO891" s="1419"/>
      <c r="BP891" s="1420"/>
      <c r="BQ891" s="1420"/>
      <c r="BR891" s="1420"/>
      <c r="BS891" s="1420"/>
      <c r="BT891" s="1420"/>
      <c r="BU891" s="1420"/>
      <c r="BV891" s="1421"/>
      <c r="BW891" s="923"/>
      <c r="BX891" s="13"/>
      <c r="BY891" s="22"/>
      <c r="BZ891" s="22"/>
      <c r="CA891" s="22"/>
      <c r="CB891" s="22"/>
      <c r="CC891" s="22"/>
      <c r="CD891" s="22"/>
      <c r="CE891" s="1246"/>
      <c r="CF891" s="866"/>
    </row>
    <row r="892" spans="1:84" ht="34.5" customHeight="1">
      <c r="A892" s="1467"/>
      <c r="B892" s="22"/>
      <c r="C892" s="22"/>
      <c r="D892" s="22"/>
      <c r="E892" s="921"/>
      <c r="F892" s="921"/>
      <c r="G892" s="925"/>
      <c r="H892" s="1793"/>
      <c r="I892" s="331"/>
      <c r="J892" s="331"/>
      <c r="K892" s="169"/>
      <c r="L892" s="1446"/>
      <c r="M892" s="1446"/>
      <c r="N892" s="170"/>
      <c r="O892" s="178"/>
      <c r="P892" s="172"/>
      <c r="Q892" s="1215"/>
      <c r="R892" s="173"/>
      <c r="S892" s="1717"/>
      <c r="T892" s="175"/>
      <c r="U892" s="176"/>
      <c r="V892" s="177"/>
      <c r="W892" s="667"/>
      <c r="X892" s="1064"/>
      <c r="Y892" s="930"/>
      <c r="Z892" s="1728"/>
      <c r="AA892" s="1412"/>
      <c r="AB892" s="256"/>
      <c r="AC892" s="8"/>
      <c r="AD892" s="4"/>
      <c r="AE892" s="4"/>
      <c r="AF892" s="32"/>
      <c r="AG892" s="1422"/>
      <c r="AH892" s="608"/>
      <c r="AI892" s="608"/>
      <c r="AJ892" s="1423"/>
      <c r="AK892" s="1390"/>
      <c r="AL892" s="256"/>
      <c r="AM892" s="220"/>
      <c r="AN892" s="5"/>
      <c r="AO892" s="220"/>
      <c r="AP892" s="5"/>
      <c r="AQ892" s="220"/>
      <c r="AR892" s="5"/>
      <c r="AS892" s="537"/>
      <c r="AT892" s="35"/>
      <c r="AU892" s="912"/>
      <c r="AV892" s="901"/>
      <c r="AW892" s="231"/>
      <c r="AX892" s="11"/>
      <c r="AY892" s="224"/>
      <c r="AZ892" s="52"/>
      <c r="BA892" s="231"/>
      <c r="BB892" s="5"/>
      <c r="BC892" s="5"/>
      <c r="BD892" s="11"/>
      <c r="BE892" s="231"/>
      <c r="BF892" s="509"/>
      <c r="BG892" s="5"/>
      <c r="BH892" s="5"/>
      <c r="BI892" s="5"/>
      <c r="BJ892" s="64"/>
      <c r="BK892" s="203"/>
      <c r="BL892" s="1129"/>
      <c r="BM892" s="1418"/>
      <c r="BN892" s="1419"/>
      <c r="BO892" s="1419"/>
      <c r="BP892" s="1420"/>
      <c r="BQ892" s="1420"/>
      <c r="BR892" s="1420"/>
      <c r="BS892" s="1420"/>
      <c r="BT892" s="1420"/>
      <c r="BU892" s="1420"/>
      <c r="BV892" s="1421"/>
      <c r="BW892" s="923"/>
      <c r="BX892" s="13"/>
      <c r="BY892" s="22"/>
      <c r="BZ892" s="22"/>
      <c r="CA892" s="22"/>
      <c r="CB892" s="22"/>
      <c r="CC892" s="22"/>
      <c r="CD892" s="22"/>
      <c r="CE892" s="1246"/>
      <c r="CF892" s="866"/>
    </row>
    <row r="893" spans="1:84" ht="34.5" customHeight="1">
      <c r="A893" s="1467"/>
      <c r="B893" s="22"/>
      <c r="C893" s="22"/>
      <c r="D893" s="22"/>
      <c r="E893" s="921"/>
      <c r="F893" s="921"/>
      <c r="G893" s="925"/>
      <c r="H893" s="1793"/>
      <c r="I893" s="331"/>
      <c r="J893" s="331"/>
      <c r="K893" s="169"/>
      <c r="L893" s="1446"/>
      <c r="M893" s="1446"/>
      <c r="N893" s="170"/>
      <c r="O893" s="178"/>
      <c r="P893" s="172"/>
      <c r="Q893" s="1215"/>
      <c r="R893" s="173"/>
      <c r="S893" s="1717"/>
      <c r="T893" s="175"/>
      <c r="U893" s="176"/>
      <c r="V893" s="177"/>
      <c r="W893" s="667"/>
      <c r="X893" s="1064"/>
      <c r="Y893" s="930"/>
      <c r="Z893" s="1728"/>
      <c r="AA893" s="1412"/>
      <c r="AB893" s="256"/>
      <c r="AC893" s="8"/>
      <c r="AD893" s="4"/>
      <c r="AE893" s="4"/>
      <c r="AF893" s="32"/>
      <c r="AG893" s="1422"/>
      <c r="AH893" s="608"/>
      <c r="AI893" s="608"/>
      <c r="AJ893" s="1423"/>
      <c r="AK893" s="1390"/>
      <c r="AL893" s="256"/>
      <c r="AM893" s="220"/>
      <c r="AN893" s="5"/>
      <c r="AO893" s="220"/>
      <c r="AP893" s="5"/>
      <c r="AQ893" s="220"/>
      <c r="AR893" s="5"/>
      <c r="AS893" s="537"/>
      <c r="AT893" s="35"/>
      <c r="AU893" s="912"/>
      <c r="AV893" s="901"/>
      <c r="AW893" s="231"/>
      <c r="AX893" s="11"/>
      <c r="AY893" s="224"/>
      <c r="AZ893" s="52"/>
      <c r="BA893" s="231"/>
      <c r="BB893" s="5"/>
      <c r="BC893" s="5"/>
      <c r="BD893" s="11"/>
      <c r="BE893" s="231"/>
      <c r="BF893" s="509"/>
      <c r="BG893" s="5"/>
      <c r="BH893" s="5"/>
      <c r="BI893" s="5"/>
      <c r="BJ893" s="64"/>
      <c r="BK893" s="203"/>
      <c r="BL893" s="1129"/>
      <c r="BM893" s="1418"/>
      <c r="BN893" s="1419"/>
      <c r="BO893" s="1419"/>
      <c r="BP893" s="1420"/>
      <c r="BQ893" s="1420"/>
      <c r="BR893" s="1420"/>
      <c r="BS893" s="1420"/>
      <c r="BT893" s="1420"/>
      <c r="BU893" s="1420"/>
      <c r="BV893" s="1421"/>
      <c r="BW893" s="923"/>
      <c r="BX893" s="13"/>
      <c r="BY893" s="22"/>
      <c r="BZ893" s="22"/>
      <c r="CA893" s="22"/>
      <c r="CB893" s="22"/>
      <c r="CC893" s="22"/>
      <c r="CD893" s="22"/>
      <c r="CE893" s="1246"/>
      <c r="CF893" s="866"/>
    </row>
    <row r="894" spans="1:84" ht="34.5" customHeight="1">
      <c r="A894" s="1467"/>
      <c r="B894" s="22"/>
      <c r="C894" s="22"/>
      <c r="D894" s="22"/>
      <c r="E894" s="921"/>
      <c r="F894" s="921"/>
      <c r="G894" s="925"/>
      <c r="H894" s="1793"/>
      <c r="I894" s="331"/>
      <c r="J894" s="331"/>
      <c r="K894" s="169"/>
      <c r="L894" s="1446"/>
      <c r="M894" s="1446"/>
      <c r="N894" s="170"/>
      <c r="O894" s="178"/>
      <c r="P894" s="172"/>
      <c r="Q894" s="1215"/>
      <c r="R894" s="173"/>
      <c r="S894" s="1717"/>
      <c r="T894" s="175"/>
      <c r="U894" s="176"/>
      <c r="V894" s="177"/>
      <c r="W894" s="667"/>
      <c r="X894" s="1064"/>
      <c r="Y894" s="930"/>
      <c r="Z894" s="1728"/>
      <c r="AA894" s="1412"/>
      <c r="AB894" s="256"/>
      <c r="AC894" s="8"/>
      <c r="AD894" s="4"/>
      <c r="AE894" s="4"/>
      <c r="AF894" s="32"/>
      <c r="AG894" s="1422"/>
      <c r="AH894" s="608"/>
      <c r="AI894" s="608"/>
      <c r="AJ894" s="1423"/>
      <c r="AK894" s="1390"/>
      <c r="AL894" s="256"/>
      <c r="AM894" s="220"/>
      <c r="AN894" s="5"/>
      <c r="AO894" s="220"/>
      <c r="AP894" s="5"/>
      <c r="AQ894" s="220"/>
      <c r="AR894" s="5"/>
      <c r="AS894" s="537"/>
      <c r="AT894" s="35"/>
      <c r="AU894" s="912"/>
      <c r="AV894" s="901"/>
      <c r="AW894" s="231"/>
      <c r="AX894" s="11"/>
      <c r="AY894" s="224"/>
      <c r="AZ894" s="52"/>
      <c r="BA894" s="231"/>
      <c r="BB894" s="5"/>
      <c r="BC894" s="5"/>
      <c r="BD894" s="11"/>
      <c r="BE894" s="231"/>
      <c r="BF894" s="509"/>
      <c r="BG894" s="5"/>
      <c r="BH894" s="5"/>
      <c r="BI894" s="5"/>
      <c r="BJ894" s="64"/>
      <c r="BK894" s="203"/>
      <c r="BL894" s="1129"/>
      <c r="BM894" s="1418"/>
      <c r="BN894" s="1419"/>
      <c r="BO894" s="1419"/>
      <c r="BP894" s="1420"/>
      <c r="BQ894" s="1420"/>
      <c r="BR894" s="1420"/>
      <c r="BS894" s="1420"/>
      <c r="BT894" s="1420"/>
      <c r="BU894" s="1420"/>
      <c r="BV894" s="1421"/>
      <c r="BW894" s="923"/>
      <c r="BX894" s="13"/>
      <c r="BY894" s="22"/>
      <c r="BZ894" s="22"/>
      <c r="CA894" s="22"/>
      <c r="CB894" s="22"/>
      <c r="CC894" s="22"/>
      <c r="CD894" s="22"/>
      <c r="CE894" s="1246"/>
      <c r="CF894" s="866"/>
    </row>
    <row r="895" spans="1:84" ht="34.5" customHeight="1">
      <c r="A895" s="1467"/>
      <c r="B895" s="22"/>
      <c r="C895" s="22"/>
      <c r="D895" s="22"/>
      <c r="E895" s="921"/>
      <c r="F895" s="921"/>
      <c r="G895" s="925"/>
      <c r="H895" s="1793"/>
      <c r="I895" s="331"/>
      <c r="J895" s="331"/>
      <c r="K895" s="169"/>
      <c r="L895" s="1446"/>
      <c r="M895" s="1446"/>
      <c r="N895" s="170"/>
      <c r="O895" s="178"/>
      <c r="P895" s="172"/>
      <c r="Q895" s="1215"/>
      <c r="R895" s="173"/>
      <c r="S895" s="1717"/>
      <c r="T895" s="175"/>
      <c r="U895" s="176"/>
      <c r="V895" s="177"/>
      <c r="W895" s="667"/>
      <c r="X895" s="1064"/>
      <c r="Y895" s="930"/>
      <c r="Z895" s="1728"/>
      <c r="AA895" s="1412"/>
      <c r="AB895" s="256"/>
      <c r="AC895" s="8"/>
      <c r="AD895" s="4"/>
      <c r="AE895" s="4"/>
      <c r="AF895" s="32"/>
      <c r="AG895" s="1422"/>
      <c r="AH895" s="608"/>
      <c r="AI895" s="608"/>
      <c r="AJ895" s="1423"/>
      <c r="AK895" s="1390"/>
      <c r="AL895" s="256"/>
      <c r="AM895" s="220"/>
      <c r="AN895" s="5"/>
      <c r="AO895" s="220"/>
      <c r="AP895" s="5"/>
      <c r="AQ895" s="220"/>
      <c r="AR895" s="5"/>
      <c r="AS895" s="537"/>
      <c r="AT895" s="35"/>
      <c r="AU895" s="912"/>
      <c r="AV895" s="901"/>
      <c r="AW895" s="231"/>
      <c r="AX895" s="11"/>
      <c r="AY895" s="224"/>
      <c r="AZ895" s="52"/>
      <c r="BA895" s="231"/>
      <c r="BB895" s="5"/>
      <c r="BC895" s="5"/>
      <c r="BD895" s="11"/>
      <c r="BE895" s="231"/>
      <c r="BF895" s="509"/>
      <c r="BG895" s="5"/>
      <c r="BH895" s="5"/>
      <c r="BI895" s="5"/>
      <c r="BJ895" s="64"/>
      <c r="BK895" s="203"/>
      <c r="BL895" s="1129"/>
      <c r="BM895" s="1418"/>
      <c r="BN895" s="1419"/>
      <c r="BO895" s="1419"/>
      <c r="BP895" s="1420"/>
      <c r="BQ895" s="1420"/>
      <c r="BR895" s="1420"/>
      <c r="BS895" s="1420"/>
      <c r="BT895" s="1420"/>
      <c r="BU895" s="1420"/>
      <c r="BV895" s="1421"/>
      <c r="BW895" s="923"/>
      <c r="BX895" s="13"/>
      <c r="BY895" s="22"/>
      <c r="BZ895" s="22"/>
      <c r="CA895" s="22"/>
      <c r="CB895" s="22"/>
      <c r="CC895" s="22"/>
      <c r="CD895" s="22"/>
      <c r="CE895" s="1246"/>
      <c r="CF895" s="866"/>
    </row>
    <row r="896" spans="1:84" ht="34.5" customHeight="1">
      <c r="A896" s="1467"/>
      <c r="B896" s="22"/>
      <c r="C896" s="22"/>
      <c r="D896" s="22"/>
      <c r="E896" s="921"/>
      <c r="F896" s="921"/>
      <c r="G896" s="925"/>
      <c r="H896" s="1793"/>
      <c r="I896" s="331"/>
      <c r="J896" s="331"/>
      <c r="K896" s="169"/>
      <c r="L896" s="1446"/>
      <c r="M896" s="1446"/>
      <c r="N896" s="170"/>
      <c r="O896" s="178"/>
      <c r="P896" s="172"/>
      <c r="Q896" s="1215"/>
      <c r="R896" s="173"/>
      <c r="S896" s="1717"/>
      <c r="T896" s="175"/>
      <c r="U896" s="176"/>
      <c r="V896" s="177"/>
      <c r="W896" s="667"/>
      <c r="X896" s="1064"/>
      <c r="Y896" s="930"/>
      <c r="Z896" s="1728"/>
      <c r="AA896" s="1412"/>
      <c r="AB896" s="256"/>
      <c r="AC896" s="8"/>
      <c r="AD896" s="4"/>
      <c r="AE896" s="4"/>
      <c r="AF896" s="32"/>
      <c r="AG896" s="1422"/>
      <c r="AH896" s="608"/>
      <c r="AI896" s="608"/>
      <c r="AJ896" s="1423"/>
      <c r="AK896" s="1390"/>
      <c r="AL896" s="256"/>
      <c r="AM896" s="220"/>
      <c r="AN896" s="5"/>
      <c r="AO896" s="220"/>
      <c r="AP896" s="5"/>
      <c r="AQ896" s="220"/>
      <c r="AR896" s="5"/>
      <c r="AS896" s="537"/>
      <c r="AT896" s="35"/>
      <c r="AU896" s="912"/>
      <c r="AV896" s="901"/>
      <c r="AW896" s="231"/>
      <c r="AX896" s="11"/>
      <c r="AY896" s="224"/>
      <c r="AZ896" s="52"/>
      <c r="BA896" s="231"/>
      <c r="BB896" s="5"/>
      <c r="BC896" s="5"/>
      <c r="BD896" s="11"/>
      <c r="BE896" s="231"/>
      <c r="BF896" s="509"/>
      <c r="BG896" s="5"/>
      <c r="BH896" s="5"/>
      <c r="BI896" s="5"/>
      <c r="BJ896" s="64"/>
      <c r="BK896" s="203"/>
      <c r="BL896" s="1129"/>
      <c r="BM896" s="1418"/>
      <c r="BN896" s="1419"/>
      <c r="BO896" s="1419"/>
      <c r="BP896" s="1420"/>
      <c r="BQ896" s="1420"/>
      <c r="BR896" s="1420"/>
      <c r="BS896" s="1420"/>
      <c r="BT896" s="1420"/>
      <c r="BU896" s="1420"/>
      <c r="BV896" s="1421"/>
      <c r="BW896" s="923"/>
      <c r="BX896" s="13"/>
      <c r="BY896" s="22"/>
      <c r="BZ896" s="22"/>
      <c r="CA896" s="22"/>
      <c r="CB896" s="22"/>
      <c r="CC896" s="22"/>
      <c r="CD896" s="22"/>
      <c r="CE896" s="1246"/>
      <c r="CF896" s="866"/>
    </row>
    <row r="897" spans="1:84" ht="34.5" customHeight="1">
      <c r="A897" s="1467"/>
      <c r="B897" s="22"/>
      <c r="C897" s="22"/>
      <c r="D897" s="22"/>
      <c r="E897" s="921"/>
      <c r="F897" s="921"/>
      <c r="G897" s="925"/>
      <c r="H897" s="1793"/>
      <c r="I897" s="331"/>
      <c r="J897" s="331"/>
      <c r="K897" s="169"/>
      <c r="L897" s="1446"/>
      <c r="M897" s="1446"/>
      <c r="N897" s="170"/>
      <c r="O897" s="178"/>
      <c r="P897" s="172"/>
      <c r="Q897" s="1215"/>
      <c r="R897" s="173"/>
      <c r="S897" s="1717"/>
      <c r="T897" s="175"/>
      <c r="U897" s="176"/>
      <c r="V897" s="177"/>
      <c r="W897" s="667"/>
      <c r="X897" s="1064"/>
      <c r="Y897" s="930"/>
      <c r="Z897" s="1728"/>
      <c r="AA897" s="1412"/>
      <c r="AB897" s="256"/>
      <c r="AC897" s="8"/>
      <c r="AD897" s="4"/>
      <c r="AE897" s="4"/>
      <c r="AF897" s="32"/>
      <c r="AG897" s="1422"/>
      <c r="AH897" s="608"/>
      <c r="AI897" s="608"/>
      <c r="AJ897" s="1423"/>
      <c r="AK897" s="1390"/>
      <c r="AL897" s="256"/>
      <c r="AM897" s="220"/>
      <c r="AN897" s="5"/>
      <c r="AO897" s="220"/>
      <c r="AP897" s="5"/>
      <c r="AQ897" s="220"/>
      <c r="AR897" s="5"/>
      <c r="AS897" s="537"/>
      <c r="AT897" s="35"/>
      <c r="AU897" s="912"/>
      <c r="AV897" s="901"/>
      <c r="AW897" s="231"/>
      <c r="AX897" s="11"/>
      <c r="AY897" s="224"/>
      <c r="AZ897" s="52"/>
      <c r="BA897" s="231"/>
      <c r="BB897" s="5"/>
      <c r="BC897" s="5"/>
      <c r="BD897" s="11"/>
      <c r="BE897" s="231"/>
      <c r="BF897" s="509"/>
      <c r="BG897" s="5"/>
      <c r="BH897" s="5"/>
      <c r="BI897" s="5"/>
      <c r="BJ897" s="64"/>
      <c r="BK897" s="203"/>
      <c r="BL897" s="1129"/>
      <c r="BM897" s="1418"/>
      <c r="BN897" s="1419"/>
      <c r="BO897" s="1419"/>
      <c r="BP897" s="1420"/>
      <c r="BQ897" s="1420"/>
      <c r="BR897" s="1420"/>
      <c r="BS897" s="1420"/>
      <c r="BT897" s="1420"/>
      <c r="BU897" s="1420"/>
      <c r="BV897" s="1421"/>
      <c r="BW897" s="923"/>
      <c r="BX897" s="13"/>
      <c r="BY897" s="22"/>
      <c r="BZ897" s="22"/>
      <c r="CA897" s="22"/>
      <c r="CB897" s="22"/>
      <c r="CC897" s="22"/>
      <c r="CD897" s="22"/>
      <c r="CE897" s="1246"/>
      <c r="CF897" s="866"/>
    </row>
    <row r="898" spans="1:84" ht="34.5" customHeight="1">
      <c r="A898" s="1467"/>
      <c r="B898" s="22"/>
      <c r="C898" s="22"/>
      <c r="D898" s="22"/>
      <c r="E898" s="921"/>
      <c r="F898" s="921"/>
      <c r="G898" s="925"/>
      <c r="H898" s="1793"/>
      <c r="I898" s="331"/>
      <c r="J898" s="331"/>
      <c r="K898" s="169"/>
      <c r="L898" s="1446"/>
      <c r="M898" s="1446"/>
      <c r="N898" s="170"/>
      <c r="O898" s="178"/>
      <c r="P898" s="172"/>
      <c r="Q898" s="1215"/>
      <c r="R898" s="173"/>
      <c r="S898" s="1717"/>
      <c r="T898" s="175"/>
      <c r="U898" s="176"/>
      <c r="V898" s="177"/>
      <c r="W898" s="667"/>
      <c r="X898" s="1064"/>
      <c r="Y898" s="930"/>
      <c r="Z898" s="1728"/>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c r="CF898" s="866"/>
    </row>
    <row r="899" spans="1:84" ht="34.5" customHeight="1">
      <c r="A899" s="1467"/>
      <c r="B899" s="22"/>
      <c r="C899" s="22"/>
      <c r="D899" s="22"/>
      <c r="E899" s="921"/>
      <c r="F899" s="921"/>
      <c r="G899" s="925"/>
      <c r="H899" s="1793"/>
      <c r="I899" s="331"/>
      <c r="J899" s="331"/>
      <c r="K899" s="169"/>
      <c r="L899" s="1446"/>
      <c r="M899" s="1446"/>
      <c r="N899" s="170"/>
      <c r="O899" s="178"/>
      <c r="P899" s="172"/>
      <c r="Q899" s="1215"/>
      <c r="R899" s="173"/>
      <c r="S899" s="1717"/>
      <c r="T899" s="175"/>
      <c r="U899" s="176"/>
      <c r="V899" s="177"/>
      <c r="W899" s="667"/>
      <c r="X899" s="1064"/>
      <c r="Y899" s="930"/>
      <c r="Z899" s="1728"/>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c r="CF899" s="866"/>
    </row>
    <row r="900" spans="1:84" ht="34.5" customHeight="1">
      <c r="B900" s="22"/>
      <c r="C900" s="22"/>
      <c r="D900" s="22"/>
      <c r="E900" s="921"/>
      <c r="F900" s="921"/>
      <c r="G900" s="925"/>
      <c r="H900" s="1793"/>
      <c r="I900" s="331"/>
      <c r="J900" s="331"/>
      <c r="K900" s="169"/>
      <c r="L900" s="1446"/>
      <c r="M900" s="1446"/>
      <c r="N900" s="170"/>
      <c r="O900" s="178"/>
      <c r="P900" s="172"/>
      <c r="Q900" s="1215"/>
      <c r="R900" s="173"/>
      <c r="S900" s="1717"/>
      <c r="T900" s="175"/>
      <c r="U900" s="176"/>
      <c r="V900" s="177"/>
      <c r="W900" s="667"/>
      <c r="X900" s="1064"/>
      <c r="Y900" s="930"/>
      <c r="Z900" s="1728"/>
      <c r="AA900" s="1412"/>
      <c r="AB900" s="256"/>
      <c r="AC900" s="8"/>
      <c r="AD900" s="4"/>
      <c r="AE900" s="4"/>
      <c r="AF900" s="32"/>
      <c r="AG900" s="1422"/>
      <c r="AH900" s="608"/>
      <c r="AI900" s="608"/>
      <c r="AJ900" s="1423"/>
      <c r="AK900" s="1390"/>
      <c r="AL900" s="256"/>
      <c r="AM900" s="220"/>
      <c r="AN900" s="5"/>
      <c r="AO900" s="220"/>
      <c r="AP900" s="5"/>
      <c r="AQ900" s="220"/>
      <c r="AR900" s="5"/>
      <c r="AS900" s="537"/>
      <c r="AT900" s="35"/>
      <c r="AU900" s="912"/>
      <c r="AV900" s="901"/>
      <c r="AW900" s="231"/>
      <c r="AX900" s="11"/>
      <c r="AY900" s="224"/>
      <c r="AZ900" s="52"/>
      <c r="BA900" s="231"/>
      <c r="BB900" s="5"/>
      <c r="BC900" s="5"/>
      <c r="BD900" s="11"/>
      <c r="BE900" s="231"/>
      <c r="BF900" s="509"/>
      <c r="BG900" s="5"/>
      <c r="BH900" s="5"/>
      <c r="BI900" s="5"/>
      <c r="BJ900" s="64"/>
      <c r="BK900" s="203"/>
      <c r="BL900" s="1129"/>
      <c r="BM900" s="1418"/>
      <c r="BN900" s="1419"/>
      <c r="BO900" s="1419"/>
      <c r="BP900" s="1420"/>
      <c r="BQ900" s="1420"/>
      <c r="BR900" s="1420"/>
      <c r="BS900" s="1420"/>
      <c r="BT900" s="1420"/>
      <c r="BU900" s="1420"/>
      <c r="BV900" s="1421"/>
      <c r="BW900" s="923"/>
      <c r="BX900" s="13"/>
      <c r="BY900" s="22"/>
      <c r="BZ900" s="22"/>
      <c r="CA900" s="22"/>
      <c r="CB900" s="22"/>
      <c r="CC900" s="22"/>
      <c r="CD900" s="22"/>
      <c r="CE900" s="1246" t="s">
        <v>6558</v>
      </c>
      <c r="CF900" s="866"/>
    </row>
    <row r="901" spans="1:84" ht="34.5" customHeight="1">
      <c r="B901" s="1792"/>
      <c r="C901" s="1792"/>
      <c r="D901" s="1792"/>
      <c r="E901" s="1889"/>
      <c r="F901" s="1889"/>
      <c r="G901" s="1793"/>
      <c r="H901" s="1793"/>
      <c r="I901" s="331"/>
      <c r="J901" s="331"/>
      <c r="K901" s="169"/>
      <c r="L901" s="1446"/>
      <c r="M901" s="1446"/>
      <c r="N901" s="170"/>
      <c r="O901" s="178"/>
      <c r="P901" s="172"/>
      <c r="Q901" s="173"/>
      <c r="R901" s="173"/>
      <c r="S901" s="174"/>
      <c r="T901" s="175"/>
      <c r="U901" s="176"/>
      <c r="V901" s="177"/>
      <c r="W901" s="1794"/>
      <c r="X901" s="178"/>
      <c r="Y901" s="170"/>
      <c r="Z901" s="1795"/>
      <c r="AA901" s="1394"/>
      <c r="AB901" s="178"/>
      <c r="AC901" s="1796"/>
      <c r="AD901" s="174"/>
      <c r="AE901" s="174"/>
      <c r="AF901" s="1797"/>
      <c r="AG901" s="1798"/>
      <c r="AH901" s="1799"/>
      <c r="AI901" s="1799"/>
      <c r="AJ901" s="1800"/>
      <c r="AK901" s="1801"/>
      <c r="AL901" s="178"/>
      <c r="AM901" s="244"/>
      <c r="AN901" s="176"/>
      <c r="AO901" s="244"/>
      <c r="AP901" s="176"/>
      <c r="AQ901" s="244"/>
      <c r="AR901" s="176"/>
      <c r="AS901" s="283"/>
      <c r="AT901" s="250">
        <v>0</v>
      </c>
      <c r="AU901" s="906"/>
      <c r="AV901" s="895"/>
      <c r="AW901" s="252"/>
      <c r="AX901" s="177"/>
      <c r="AY901" s="1802"/>
      <c r="AZ901" s="253"/>
      <c r="BA901" s="252"/>
      <c r="BB901" s="176"/>
      <c r="BC901" s="176"/>
      <c r="BD901" s="177"/>
      <c r="BE901" s="252"/>
      <c r="BF901" s="1803"/>
      <c r="BG901" s="176"/>
      <c r="BH901" s="176"/>
      <c r="BI901" s="176"/>
      <c r="BJ901" s="251">
        <f>AT901+AU901</f>
        <v>0</v>
      </c>
      <c r="BK901" s="257"/>
      <c r="BL901" s="23"/>
      <c r="BM901" s="1804" t="s">
        <v>67</v>
      </c>
      <c r="BN901" s="1805" t="s">
        <v>67</v>
      </c>
      <c r="BO901" s="1805" t="s">
        <v>67</v>
      </c>
      <c r="BP901" s="1806"/>
      <c r="BQ901" s="1806"/>
      <c r="BR901" s="1806"/>
      <c r="BS901" s="1806"/>
      <c r="BT901" s="1806"/>
      <c r="BU901" s="1806"/>
      <c r="BV901" s="1806"/>
      <c r="BW901" s="1804" t="s">
        <v>67</v>
      </c>
      <c r="BX901" s="257"/>
      <c r="BY901" s="1792"/>
      <c r="BZ901" s="1792"/>
      <c r="CA901" s="1792"/>
      <c r="CB901" s="1792"/>
      <c r="CC901" s="1792"/>
      <c r="CD901" s="1792"/>
      <c r="CE901" s="1246" t="s">
        <v>6558</v>
      </c>
      <c r="CF901" s="1807"/>
    </row>
    <row r="902" spans="1:84" ht="18.75">
      <c r="B902" s="159"/>
      <c r="C902" s="159"/>
      <c r="D902" s="159"/>
      <c r="E902" s="1808"/>
      <c r="F902" s="1808"/>
      <c r="G902" s="159"/>
      <c r="H902" s="159"/>
      <c r="I902" s="1809"/>
      <c r="J902" s="1809"/>
      <c r="K902" s="159"/>
      <c r="L902" s="159"/>
      <c r="M902" s="159"/>
      <c r="O902" s="141"/>
      <c r="Q902" s="580"/>
      <c r="R902" s="580"/>
      <c r="S902" s="541"/>
      <c r="Z902" s="29"/>
      <c r="AA902" s="29"/>
      <c r="AB902" s="25"/>
      <c r="AC902" s="1810"/>
      <c r="AD902" s="1734"/>
      <c r="AE902" s="1734"/>
      <c r="AF902" s="1734"/>
      <c r="AG902" s="1811"/>
      <c r="AH902" s="1811"/>
      <c r="AI902" s="1811"/>
      <c r="AJ902" s="1811"/>
      <c r="AK902" s="1811"/>
      <c r="AL902" s="25"/>
      <c r="AM902" s="23"/>
      <c r="AN902" s="29"/>
      <c r="AO902" s="23"/>
      <c r="AP902" s="29"/>
      <c r="AQ902" s="23"/>
      <c r="AR902" s="29"/>
      <c r="AS902" s="1812"/>
      <c r="AT902" s="1813"/>
      <c r="AU902" s="1813"/>
      <c r="AV902" s="1813"/>
      <c r="AW902" s="29"/>
      <c r="AX902" s="29"/>
      <c r="AY902" s="29"/>
      <c r="AZ902" s="29"/>
      <c r="BA902" s="29"/>
      <c r="BB902" s="29"/>
      <c r="BC902" s="29"/>
      <c r="BD902" s="29"/>
      <c r="BE902" s="29"/>
      <c r="BF902" s="29"/>
      <c r="BG902" s="29"/>
      <c r="BH902" s="29"/>
      <c r="BI902" s="29"/>
      <c r="BJ902" s="1813"/>
      <c r="BK902" s="1804"/>
      <c r="BL902" s="1804"/>
      <c r="BM902" s="1804"/>
      <c r="BN902" s="1804"/>
      <c r="BO902" s="1804"/>
      <c r="BP902" s="1804"/>
      <c r="BQ902" s="1804"/>
      <c r="BR902" s="1804"/>
      <c r="BS902" s="1804"/>
      <c r="BT902" s="1804"/>
      <c r="BU902" s="1804"/>
      <c r="BV902" s="1804"/>
      <c r="BW902" s="1804"/>
      <c r="CF902" s="1814"/>
    </row>
    <row r="903" spans="1:84" ht="15.75">
      <c r="G903" s="132"/>
      <c r="H903" s="132"/>
      <c r="I903" s="334"/>
      <c r="J903" s="334"/>
      <c r="AV903" s="72"/>
      <c r="BY903" s="1030" t="s">
        <v>1398</v>
      </c>
      <c r="BZ903" s="1030"/>
      <c r="CA903" s="1030"/>
      <c r="CB903" s="1030"/>
      <c r="CC903" s="1030"/>
      <c r="CD903" s="1030"/>
      <c r="CE903" s="1030"/>
      <c r="CF903" s="1030" t="s">
        <v>1399</v>
      </c>
    </row>
    <row r="904" spans="1:84" s="1013" customFormat="1" ht="33" customHeight="1">
      <c r="E904" s="1014"/>
      <c r="F904" s="1014"/>
      <c r="G904" s="738"/>
      <c r="H904" s="738"/>
      <c r="I904" s="1015"/>
      <c r="J904" s="1015"/>
      <c r="O904" s="1016" t="s">
        <v>1400</v>
      </c>
      <c r="Q904" s="2039">
        <v>45789</v>
      </c>
      <c r="R904" s="2039"/>
      <c r="S904" s="2039"/>
      <c r="U904" s="1013" t="s">
        <v>523</v>
      </c>
      <c r="Y904" s="1017"/>
      <c r="AR904" s="2044"/>
      <c r="AS904" s="2044"/>
      <c r="AV904" s="1428"/>
      <c r="BY904" s="1030" t="s">
        <v>1401</v>
      </c>
      <c r="BZ904" s="1030"/>
      <c r="CA904" s="1030"/>
      <c r="CB904" s="1030"/>
      <c r="CC904" s="1030"/>
      <c r="CD904" s="1030"/>
      <c r="CE904" s="1030"/>
      <c r="CF904" s="1030" t="s">
        <v>1402</v>
      </c>
    </row>
    <row r="905" spans="1:84" ht="15.75">
      <c r="G905" s="132"/>
      <c r="H905" s="132"/>
      <c r="I905" s="334"/>
      <c r="J905" s="334"/>
      <c r="S905" s="506"/>
      <c r="Y905" s="107"/>
      <c r="AU905" s="72"/>
      <c r="BH905" s="536"/>
      <c r="BY905" s="1030" t="s">
        <v>1403</v>
      </c>
      <c r="BZ905" s="1030"/>
      <c r="CA905" s="1030"/>
      <c r="CB905" s="1030"/>
      <c r="CC905" s="1030"/>
      <c r="CD905" s="1030"/>
      <c r="CE905" s="1030"/>
      <c r="CF905" s="1030" t="s">
        <v>1404</v>
      </c>
    </row>
    <row r="906" spans="1:84" ht="15.75">
      <c r="G906" s="132"/>
      <c r="H906" s="132"/>
      <c r="I906" s="334"/>
      <c r="J906" s="334"/>
      <c r="S906" s="506"/>
      <c r="Y906" s="107"/>
      <c r="AU906" s="72"/>
      <c r="BH906" s="536"/>
      <c r="BY906" s="1030" t="s">
        <v>1406</v>
      </c>
      <c r="BZ906" s="1030"/>
      <c r="CA906" s="1030"/>
      <c r="CB906" s="1030"/>
      <c r="CC906" s="1030"/>
      <c r="CD906" s="1030"/>
      <c r="CE906" s="1030"/>
      <c r="CF906" s="1030" t="s">
        <v>1405</v>
      </c>
    </row>
    <row r="907" spans="1:84" ht="35.25" customHeight="1">
      <c r="E907" s="2051"/>
      <c r="F907" s="2051"/>
      <c r="G907" s="2052"/>
      <c r="H907" s="2052"/>
      <c r="I907" s="2052"/>
      <c r="J907" s="132"/>
      <c r="K907" s="738"/>
      <c r="L907" s="738"/>
      <c r="M907" s="738"/>
      <c r="N907" s="1291"/>
      <c r="O907" s="738"/>
      <c r="P907" s="738"/>
      <c r="Q907" s="738"/>
      <c r="R907" s="738"/>
      <c r="S907" s="2015"/>
      <c r="T907" s="132"/>
      <c r="U907" s="132"/>
      <c r="AU907" s="72"/>
      <c r="BJ907" s="72"/>
      <c r="BY907" s="1030"/>
      <c r="BZ907" s="1030"/>
    </row>
    <row r="908" spans="1:84" ht="21">
      <c r="I908" s="332"/>
      <c r="J908" s="332"/>
      <c r="N908" s="1291"/>
      <c r="S908" s="506"/>
    </row>
    <row r="909" spans="1:84" ht="15.75">
      <c r="I909" s="332"/>
      <c r="J909" s="332"/>
      <c r="CE909" t="s">
        <v>1294</v>
      </c>
      <c r="CF909" s="1030" t="s">
        <v>3211</v>
      </c>
    </row>
    <row r="910" spans="1:84" ht="15.75">
      <c r="I910" s="332"/>
      <c r="J910" s="332"/>
      <c r="S910" s="107"/>
      <c r="CE910" t="s">
        <v>1403</v>
      </c>
      <c r="CF910" s="1030" t="s">
        <v>3212</v>
      </c>
    </row>
    <row r="911" spans="1:84" ht="15.75">
      <c r="I911" s="332"/>
      <c r="J911" s="332"/>
      <c r="CE911" t="s">
        <v>2252</v>
      </c>
      <c r="CF911" s="1030" t="s">
        <v>3213</v>
      </c>
    </row>
    <row r="912" spans="1:84">
      <c r="I912" s="332"/>
      <c r="J912" s="332"/>
    </row>
    <row r="913" spans="9:48">
      <c r="I913" s="332"/>
      <c r="J913" s="332"/>
    </row>
    <row r="914" spans="9:48">
      <c r="I914" s="332"/>
      <c r="J914" s="332"/>
    </row>
    <row r="915" spans="9:48">
      <c r="I915" s="332"/>
      <c r="J915" s="332"/>
      <c r="S915" s="107"/>
      <c r="U915" s="539"/>
      <c r="V915" s="107"/>
      <c r="W915" s="107"/>
    </row>
    <row r="916" spans="9:48">
      <c r="R916" s="506"/>
      <c r="T916" s="2040"/>
      <c r="U916" s="2040"/>
      <c r="AU916" s="72"/>
      <c r="AV916" s="72"/>
    </row>
    <row r="917" spans="9:48">
      <c r="R917" s="506"/>
      <c r="T917" s="2040"/>
      <c r="U917" s="2041"/>
      <c r="AU917" s="72"/>
      <c r="AV917" s="72"/>
    </row>
    <row r="918" spans="9:48">
      <c r="R918" s="506"/>
      <c r="T918" s="2034"/>
      <c r="U918" s="2034"/>
    </row>
    <row r="919" spans="9:48">
      <c r="T919" s="2034"/>
      <c r="U919" s="2035"/>
    </row>
    <row r="920" spans="9:48" ht="15.75">
      <c r="S920" s="892"/>
    </row>
    <row r="923" spans="9:48">
      <c r="R923" s="506"/>
    </row>
    <row r="930" spans="18:20">
      <c r="R930" s="506"/>
    </row>
    <row r="931" spans="18:20" ht="23.25">
      <c r="R931" s="1738"/>
      <c r="S931" s="2047"/>
      <c r="T931" s="2047"/>
    </row>
  </sheetData>
  <autoFilter ref="B5:CF901" xr:uid="{00000000-0009-0000-0000-000000000000}">
    <filterColumn colId="9">
      <filters blank="1">
        <filter val="2025"/>
      </filters>
    </filterColumn>
    <filterColumn colId="14">
      <filters blank="1">
        <filter val="ADJUDICACIÓN DIRECTA"/>
        <filter val="ADMINISTRACIÓN DIRECTA"/>
        <filter val="ARRENDAMIENTO"/>
        <filter val="CONCURSO SIMPLIFICADO SUMARIO"/>
        <filter val="CONCURSO SIMPLIFICADO SUMARIO CON RECURSOS CONCURRIDOS"/>
        <filter val="CONVENIO"/>
        <filter val="MANTENIMIENTOS"/>
        <filter val="SERVICIOS"/>
      </filters>
    </filterColumn>
    <filterColumn colId="81">
      <filters blank="1">
        <filter val="2021-2024"/>
        <filter val="2024-2027"/>
      </filters>
    </filterColumn>
    <sortState xmlns:xlrd2="http://schemas.microsoft.com/office/spreadsheetml/2017/richdata2" ref="B658:CF843">
      <sortCondition ref="L5:L901"/>
    </sortState>
  </autoFilter>
  <mergeCells count="22">
    <mergeCell ref="C4:D4"/>
    <mergeCell ref="AR904:AS904"/>
    <mergeCell ref="B1:V1"/>
    <mergeCell ref="S931:T931"/>
    <mergeCell ref="BM3:BW3"/>
    <mergeCell ref="E907:I907"/>
    <mergeCell ref="AG3:AK3"/>
    <mergeCell ref="O3:V3"/>
    <mergeCell ref="AW3:AX3"/>
    <mergeCell ref="BE3:BJ3"/>
    <mergeCell ref="AB3:AF3"/>
    <mergeCell ref="X3:Y3"/>
    <mergeCell ref="AY3:AZ3"/>
    <mergeCell ref="AL3:AS3"/>
    <mergeCell ref="BA3:BD3"/>
    <mergeCell ref="BK3:BL3"/>
    <mergeCell ref="T919:U919"/>
    <mergeCell ref="AT3:AV3"/>
    <mergeCell ref="Q904:S904"/>
    <mergeCell ref="T916:U916"/>
    <mergeCell ref="T917:U917"/>
    <mergeCell ref="T918:U918"/>
  </mergeCells>
  <printOptions horizontalCentered="1"/>
  <pageMargins left="0.86059055118110228" right="0.43307086614173229" top="0.59055118110236227" bottom="0.62992125984251968" header="0.31496062992125984" footer="0.31496062992125984"/>
  <pageSetup paperSize="9" scale="43" orientation="landscape"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86" t="s">
        <v>3437</v>
      </c>
      <c r="B1" s="2186"/>
      <c r="C1" s="2186"/>
      <c r="D1" s="2186"/>
      <c r="E1" s="2186"/>
      <c r="F1" s="2186"/>
      <c r="G1" s="2186"/>
      <c r="H1" s="2186"/>
      <c r="I1" s="2186"/>
      <c r="J1" s="2186"/>
      <c r="K1" s="2186"/>
      <c r="L1" s="2186"/>
      <c r="M1" s="2186"/>
      <c r="N1" s="2186"/>
      <c r="O1" s="2186"/>
      <c r="P1" s="2186"/>
      <c r="Q1" s="2186"/>
      <c r="R1" s="2186"/>
      <c r="S1" s="2186"/>
      <c r="T1" s="2186"/>
      <c r="U1" s="2186"/>
      <c r="V1" s="2186"/>
      <c r="W1" s="2186"/>
    </row>
    <row r="2" spans="1:23" ht="42.75" customHeight="1">
      <c r="A2" s="1233" t="s">
        <v>19</v>
      </c>
      <c r="B2" s="1233" t="s">
        <v>3387</v>
      </c>
      <c r="C2" s="1233" t="s">
        <v>3390</v>
      </c>
      <c r="D2" s="1233" t="s">
        <v>1424</v>
      </c>
      <c r="E2" s="1233" t="s">
        <v>1411</v>
      </c>
      <c r="F2" s="1233" t="s">
        <v>2209</v>
      </c>
      <c r="G2" s="1233" t="s">
        <v>3388</v>
      </c>
      <c r="H2" s="1233" t="s">
        <v>3389</v>
      </c>
      <c r="I2" s="1233" t="s">
        <v>4162</v>
      </c>
      <c r="J2" s="1233" t="s">
        <v>4163</v>
      </c>
      <c r="K2" s="1235" t="s">
        <v>3439</v>
      </c>
      <c r="L2" s="1235" t="s">
        <v>3440</v>
      </c>
      <c r="M2" s="1235" t="s">
        <v>24</v>
      </c>
      <c r="N2" s="1233" t="s">
        <v>3438</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2736</v>
      </c>
      <c r="D4" s="1230" t="str">
        <f>OBRA!Q441</f>
        <v>CONSTRUCCIÓN DE EMPEDRADO ZAMPEADO EN VIALIDAD AV. DEL TRABAJO DE KM 0+000.00 AL KM 0+215.00 (ENTRE VICENTE GUERRERO Y ALLENDE), EN LA LOCALIDAD DE SAN CRISTÓBAL ZAPOTITLÁN DEL MUNICIPIO DE JOCOTEPEC, JALISCO.</v>
      </c>
      <c r="E4" s="1492"/>
      <c r="F4" s="1231" t="s">
        <v>3391</v>
      </c>
      <c r="G4" s="1228" t="s">
        <v>1976</v>
      </c>
      <c r="H4" s="939" t="s">
        <v>3422</v>
      </c>
      <c r="I4" s="939">
        <f>'ADMININSTRACIÓN DIR - OBRA'!AL443</f>
        <v>20.223068999999999</v>
      </c>
      <c r="J4" s="939">
        <f>'ADMININSTRACIÓN DIR - OBRA'!AM443</f>
        <v>103.360921</v>
      </c>
      <c r="K4" s="1236">
        <v>1720</v>
      </c>
      <c r="L4" s="1236">
        <v>430</v>
      </c>
      <c r="M4" s="1237">
        <v>410787.6</v>
      </c>
      <c r="N4" s="1597" t="s">
        <v>4193</v>
      </c>
      <c r="O4" s="936"/>
      <c r="P4" s="936"/>
      <c r="Q4" s="936"/>
      <c r="R4" s="936"/>
      <c r="S4" s="936"/>
      <c r="T4" s="936"/>
      <c r="U4" s="936"/>
      <c r="V4" s="936"/>
      <c r="W4" s="936"/>
    </row>
    <row r="5" spans="1:23" ht="65.25" customHeight="1">
      <c r="A5" s="1">
        <v>2020</v>
      </c>
      <c r="B5" s="1">
        <v>2</v>
      </c>
      <c r="C5" s="1227" t="s">
        <v>3327</v>
      </c>
      <c r="D5" s="1229" t="str">
        <f>OBRA!Q443</f>
        <v>CONSTRUCCIÓN DE EMPEDRADO ZAMPEADO, EN LA AGENCIA DE EL SAUZ</v>
      </c>
      <c r="E5" s="1471"/>
      <c r="F5" s="1231" t="s">
        <v>3392</v>
      </c>
      <c r="G5" s="1228" t="s">
        <v>2506</v>
      </c>
      <c r="H5" s="939" t="s">
        <v>3423</v>
      </c>
      <c r="I5" s="939">
        <v>20.184629000000001</v>
      </c>
      <c r="J5" s="939">
        <v>103.378776</v>
      </c>
      <c r="K5" s="1236">
        <v>390</v>
      </c>
      <c r="L5" s="1236">
        <v>156</v>
      </c>
      <c r="M5" s="1237">
        <v>97940.7</v>
      </c>
      <c r="N5" s="1597" t="s">
        <v>4022</v>
      </c>
      <c r="O5" s="936"/>
      <c r="P5" s="936"/>
      <c r="Q5" s="936"/>
      <c r="R5" s="936"/>
      <c r="S5" s="936"/>
      <c r="T5" s="936"/>
      <c r="U5" s="936"/>
      <c r="V5" s="936"/>
      <c r="W5" s="936"/>
    </row>
    <row r="6" spans="1:23" ht="71.25" customHeight="1">
      <c r="A6" s="1">
        <v>2020</v>
      </c>
      <c r="B6" s="1">
        <v>3</v>
      </c>
      <c r="C6" s="1227" t="s">
        <v>3327</v>
      </c>
      <c r="D6" s="1229" t="str">
        <f>OBRA!Q443</f>
        <v>CONSTRUCCIÓN DE EMPEDRADO ZAMPEADO, EN LA AGENCIA DE EL SAUZ</v>
      </c>
      <c r="E6" s="1471"/>
      <c r="F6" s="1231" t="s">
        <v>3393</v>
      </c>
      <c r="G6" s="1228" t="s">
        <v>2506</v>
      </c>
      <c r="H6" s="939" t="s">
        <v>2566</v>
      </c>
      <c r="I6" s="939">
        <v>20.185365999999998</v>
      </c>
      <c r="J6" s="939">
        <v>103.378225</v>
      </c>
      <c r="K6" s="1236">
        <v>416.5</v>
      </c>
      <c r="L6" s="1236">
        <v>119</v>
      </c>
      <c r="M6" s="1237">
        <v>100692.45</v>
      </c>
      <c r="N6" s="1597" t="s">
        <v>4022</v>
      </c>
      <c r="O6" s="936"/>
      <c r="P6" s="936"/>
      <c r="Q6" s="936"/>
      <c r="R6" s="936"/>
      <c r="S6" s="936"/>
      <c r="T6" s="936"/>
      <c r="U6" s="936"/>
      <c r="V6" s="936"/>
      <c r="W6" s="936"/>
    </row>
    <row r="7" spans="1:23" ht="68.25" customHeight="1">
      <c r="A7" s="1">
        <v>2020</v>
      </c>
      <c r="B7" s="1">
        <v>4</v>
      </c>
      <c r="C7" s="1227" t="s">
        <v>3327</v>
      </c>
      <c r="D7" s="1229" t="str">
        <f>OBRA!Q443</f>
        <v>CONSTRUCCIÓN DE EMPEDRADO ZAMPEADO, EN LA AGENCIA DE EL SAUZ</v>
      </c>
      <c r="E7" s="1471"/>
      <c r="F7" s="1231" t="s">
        <v>3394</v>
      </c>
      <c r="G7" s="1228" t="s">
        <v>2506</v>
      </c>
      <c r="H7" s="939" t="s">
        <v>2566</v>
      </c>
      <c r="I7" s="939">
        <v>20.185628999999999</v>
      </c>
      <c r="J7" s="939">
        <v>103.378713</v>
      </c>
      <c r="K7" s="1236">
        <v>421.59999999999997</v>
      </c>
      <c r="L7" s="1236">
        <v>124</v>
      </c>
      <c r="M7" s="1237">
        <v>102215.93</v>
      </c>
      <c r="N7" s="1597" t="s">
        <v>4022</v>
      </c>
      <c r="O7" s="936"/>
      <c r="P7" s="936"/>
      <c r="Q7" s="936"/>
      <c r="R7" s="936"/>
      <c r="S7" s="936"/>
      <c r="T7" s="936"/>
      <c r="U7" s="936"/>
      <c r="V7" s="936"/>
      <c r="W7" s="936"/>
    </row>
    <row r="8" spans="1:23" ht="72.75" customHeight="1">
      <c r="A8" s="1">
        <v>2020</v>
      </c>
      <c r="B8" s="1">
        <v>5</v>
      </c>
      <c r="C8" s="1227" t="s">
        <v>3327</v>
      </c>
      <c r="D8" s="1229" t="str">
        <f>OBRA!Q443</f>
        <v>CONSTRUCCIÓN DE EMPEDRADO ZAMPEADO, EN LA AGENCIA DE EL SAUZ</v>
      </c>
      <c r="E8" s="1471"/>
      <c r="F8" s="1231" t="s">
        <v>3395</v>
      </c>
      <c r="G8" s="1228" t="s">
        <v>2506</v>
      </c>
      <c r="H8" s="939" t="s">
        <v>2566</v>
      </c>
      <c r="I8" s="939">
        <v>20.185063</v>
      </c>
      <c r="J8" s="939">
        <v>103.377555</v>
      </c>
      <c r="K8" s="1236">
        <v>1004.25</v>
      </c>
      <c r="L8" s="1236">
        <v>309</v>
      </c>
      <c r="M8" s="1237">
        <v>244595.9</v>
      </c>
      <c r="N8" s="1597" t="s">
        <v>4022</v>
      </c>
      <c r="O8" s="936"/>
      <c r="P8" s="936"/>
      <c r="Q8" s="936"/>
      <c r="R8" s="936"/>
      <c r="S8" s="936"/>
      <c r="T8" s="936"/>
      <c r="U8" s="936"/>
      <c r="V8" s="936"/>
      <c r="W8" s="936"/>
    </row>
    <row r="9" spans="1:23" ht="71.25" customHeight="1">
      <c r="A9" s="1">
        <v>2020</v>
      </c>
      <c r="B9" s="1">
        <v>6</v>
      </c>
      <c r="C9" s="1227" t="s">
        <v>3327</v>
      </c>
      <c r="D9" s="1229" t="str">
        <f>OBRA!Q443</f>
        <v>CONSTRUCCIÓN DE EMPEDRADO ZAMPEADO, EN LA AGENCIA DE EL SAUZ</v>
      </c>
      <c r="E9" s="1471"/>
      <c r="F9" s="1231" t="s">
        <v>3396</v>
      </c>
      <c r="G9" s="1228" t="s">
        <v>2506</v>
      </c>
      <c r="H9" s="939" t="s">
        <v>3425</v>
      </c>
      <c r="I9" s="939">
        <v>20.185288</v>
      </c>
      <c r="J9" s="939">
        <v>103.379211</v>
      </c>
      <c r="K9" s="1236">
        <v>458.5</v>
      </c>
      <c r="L9" s="1236">
        <v>183.4</v>
      </c>
      <c r="M9" s="1237">
        <v>115143.11</v>
      </c>
      <c r="N9" s="1597" t="s">
        <v>4022</v>
      </c>
      <c r="O9" s="936"/>
      <c r="P9" s="936"/>
      <c r="Q9" s="936"/>
      <c r="R9" s="936"/>
      <c r="S9" s="936"/>
      <c r="T9" s="936"/>
      <c r="U9" s="936"/>
      <c r="V9" s="936"/>
      <c r="W9" s="936"/>
    </row>
    <row r="10" spans="1:23" ht="66.75" customHeight="1">
      <c r="A10" s="1">
        <v>2020</v>
      </c>
      <c r="B10" s="1">
        <v>7</v>
      </c>
      <c r="C10" s="1227" t="s">
        <v>3327</v>
      </c>
      <c r="D10" s="1229" t="str">
        <f>OBRA!Q443</f>
        <v>CONSTRUCCIÓN DE EMPEDRADO ZAMPEADO, EN LA AGENCIA DE EL SAUZ</v>
      </c>
      <c r="E10" s="1471"/>
      <c r="F10" s="1231" t="s">
        <v>3397</v>
      </c>
      <c r="G10" s="1228" t="s">
        <v>2506</v>
      </c>
      <c r="H10" s="939" t="s">
        <v>3428</v>
      </c>
      <c r="I10" s="939">
        <v>20.184408000000001</v>
      </c>
      <c r="J10" s="939">
        <v>103.378445</v>
      </c>
      <c r="K10" s="1236">
        <v>490.20000000000005</v>
      </c>
      <c r="L10" s="1236">
        <v>163.4</v>
      </c>
      <c r="M10" s="1237">
        <v>120424.17</v>
      </c>
      <c r="N10" s="1597" t="s">
        <v>4022</v>
      </c>
      <c r="O10" s="936"/>
      <c r="P10" s="936"/>
      <c r="Q10" s="936"/>
      <c r="R10" s="936"/>
      <c r="S10" s="936"/>
      <c r="T10" s="936"/>
      <c r="U10" s="936"/>
      <c r="V10" s="936"/>
      <c r="W10" s="936"/>
    </row>
    <row r="11" spans="1:23" ht="83.25" customHeight="1">
      <c r="A11" s="1">
        <v>2020</v>
      </c>
      <c r="B11" s="1">
        <v>8</v>
      </c>
      <c r="C11" s="1227" t="s">
        <v>3241</v>
      </c>
      <c r="D11" s="1230" t="str">
        <f>OBRA!Q445</f>
        <v>CONSTRUCCIÓN DE EMPEDRADO ZAMPEADO EN VIALIDAD ANDADOR PEATONAL ENTRE SAN LUCIANO Y SAN LUCIANO DE ABAJO DE KM 0+000.00 AL KM 0+746.00, EN LA LOCALIDAD DE SAN LUCIANO DEL MUNICIPIO DE JOCOTEPEC, JALISCO.</v>
      </c>
      <c r="E11" s="1492"/>
      <c r="F11" s="1231" t="s">
        <v>3398</v>
      </c>
      <c r="G11" s="1228" t="s">
        <v>2616</v>
      </c>
      <c r="H11" s="939" t="s">
        <v>3426</v>
      </c>
      <c r="I11" s="939">
        <f>'ADMININSTRACIÓN DIR - OBRA'!AL446</f>
        <v>20.315778000000002</v>
      </c>
      <c r="J11" s="939">
        <f>'ADMININSTRACIÓN DIR - OBRA'!AM446</f>
        <v>103.420536</v>
      </c>
      <c r="K11" s="1236">
        <v>1492</v>
      </c>
      <c r="L11" s="1236">
        <v>1492</v>
      </c>
      <c r="M11" s="1237">
        <v>448092.36</v>
      </c>
      <c r="N11" s="1597" t="s">
        <v>4194</v>
      </c>
      <c r="O11" s="936"/>
      <c r="P11" s="936"/>
      <c r="Q11" s="936"/>
      <c r="R11" s="936"/>
      <c r="S11" s="936"/>
      <c r="T11" s="936"/>
      <c r="U11" s="936"/>
      <c r="V11" s="936"/>
      <c r="W11" s="936"/>
    </row>
    <row r="12" spans="1:23" ht="78" customHeight="1">
      <c r="A12" s="1">
        <v>2020</v>
      </c>
      <c r="B12" s="1">
        <v>9</v>
      </c>
      <c r="C12" s="1227" t="s">
        <v>2733</v>
      </c>
      <c r="D12" s="1230" t="str">
        <f>OBRA!Q434</f>
        <v>CONSTRUCCIÓN DE EMPEDRADO ZAMPEADO EN VIALIDAD CALLE JUAREZ DE KM 0+000.00 AL KM 0+126.10, EN LA LOCALIDAD DE LAS TROJES DEL MUNICIPIO DE JOCOTEPEC, JALISCO</v>
      </c>
      <c r="E12" s="1492"/>
      <c r="F12" s="1231" t="s">
        <v>3399</v>
      </c>
      <c r="G12" s="1228" t="s">
        <v>2617</v>
      </c>
      <c r="H12" s="939" t="s">
        <v>2621</v>
      </c>
      <c r="I12" s="939">
        <f>'ADMININSTRACIÓN DIR - OBRA'!AL435</f>
        <v>20.336055000000002</v>
      </c>
      <c r="J12" s="939">
        <f>'ADMININSTRACIÓN DIR - OBRA'!AM435</f>
        <v>103.327597</v>
      </c>
      <c r="K12" s="1236">
        <v>807.04</v>
      </c>
      <c r="L12" s="1236">
        <v>252.2</v>
      </c>
      <c r="M12" s="1237">
        <v>196881.44</v>
      </c>
      <c r="N12" s="1597" t="s">
        <v>4190</v>
      </c>
      <c r="O12" s="936"/>
      <c r="P12" s="936"/>
      <c r="Q12" s="936"/>
      <c r="R12" s="936"/>
      <c r="S12" s="936"/>
      <c r="T12" s="936"/>
      <c r="U12" s="936"/>
      <c r="V12" s="936"/>
      <c r="W12" s="936"/>
    </row>
    <row r="13" spans="1:23" ht="63.75" customHeight="1">
      <c r="A13" s="1">
        <v>2020</v>
      </c>
      <c r="B13" s="1">
        <v>10</v>
      </c>
      <c r="C13" s="1227" t="s">
        <v>2734</v>
      </c>
      <c r="D13" s="1230" t="str">
        <f>OBRA!Q436</f>
        <v>CONSTRUCCIÓN DE EMPEDRADO ZAMPEADO, EN LA LOCALIDAD DE HUEJOTITAN DEL MUNICIPIO DE JOCOTEPEC, JALISCO.</v>
      </c>
      <c r="E13" s="1492"/>
      <c r="F13" s="1231" t="s">
        <v>3400</v>
      </c>
      <c r="G13" s="1228" t="s">
        <v>2509</v>
      </c>
      <c r="H13" s="939" t="s">
        <v>2685</v>
      </c>
      <c r="I13" s="939">
        <v>20.352122000000001</v>
      </c>
      <c r="J13" s="939">
        <v>103.48630300000001</v>
      </c>
      <c r="K13" s="1236">
        <v>1590</v>
      </c>
      <c r="L13" s="1236">
        <v>397.5</v>
      </c>
      <c r="M13" s="1237">
        <v>379739.7</v>
      </c>
      <c r="N13" s="1597" t="s">
        <v>4191</v>
      </c>
      <c r="O13" s="936"/>
      <c r="P13" s="936"/>
      <c r="Q13" s="936"/>
      <c r="R13" s="936"/>
      <c r="S13" s="936"/>
      <c r="T13" s="936"/>
      <c r="U13" s="936"/>
      <c r="V13" s="936"/>
      <c r="W13" s="936"/>
    </row>
    <row r="14" spans="1:23" ht="66.75" customHeight="1">
      <c r="A14" s="1">
        <v>2020</v>
      </c>
      <c r="B14" s="1">
        <v>11</v>
      </c>
      <c r="C14" s="1227" t="s">
        <v>2734</v>
      </c>
      <c r="D14" s="1230" t="str">
        <f>OBRA!Q436</f>
        <v>CONSTRUCCIÓN DE EMPEDRADO ZAMPEADO, EN LA LOCALIDAD DE HUEJOTITAN DEL MUNICIPIO DE JOCOTEPEC, JALISCO.</v>
      </c>
      <c r="E14" s="1492"/>
      <c r="F14" s="1231" t="s">
        <v>3401</v>
      </c>
      <c r="G14" s="1228" t="s">
        <v>2509</v>
      </c>
      <c r="H14" s="939" t="s">
        <v>2621</v>
      </c>
      <c r="I14" s="939">
        <v>20.356207999999999</v>
      </c>
      <c r="J14" s="939">
        <v>103.487058</v>
      </c>
      <c r="K14" s="1236">
        <v>1240</v>
      </c>
      <c r="L14" s="1236">
        <v>310</v>
      </c>
      <c r="M14" s="1237">
        <v>296149.2</v>
      </c>
      <c r="N14" s="1597" t="s">
        <v>4191</v>
      </c>
      <c r="O14" s="936"/>
      <c r="P14" s="936"/>
      <c r="Q14" s="936"/>
      <c r="R14" s="936"/>
      <c r="S14" s="936"/>
      <c r="T14" s="936"/>
      <c r="U14" s="936"/>
      <c r="V14" s="936"/>
      <c r="W14" s="936"/>
    </row>
    <row r="15" spans="1:23" ht="51" customHeight="1">
      <c r="A15" s="1">
        <v>2020</v>
      </c>
      <c r="B15" s="1">
        <v>12</v>
      </c>
      <c r="C15" s="1227" t="s">
        <v>2734</v>
      </c>
      <c r="D15" s="1230" t="str">
        <f>OBRA!Q436</f>
        <v>CONSTRUCCIÓN DE EMPEDRADO ZAMPEADO, EN LA LOCALIDAD DE HUEJOTITAN DEL MUNICIPIO DE JOCOTEPEC, JALISCO.</v>
      </c>
      <c r="E15" s="1492"/>
      <c r="F15" s="1231" t="s">
        <v>3402</v>
      </c>
      <c r="G15" s="1228" t="s">
        <v>2509</v>
      </c>
      <c r="H15" s="939" t="s">
        <v>3427</v>
      </c>
      <c r="I15" s="939">
        <v>20.356750000000002</v>
      </c>
      <c r="J15" s="939">
        <v>103.486921</v>
      </c>
      <c r="K15" s="1236">
        <v>1720</v>
      </c>
      <c r="L15" s="1236">
        <v>344</v>
      </c>
      <c r="M15" s="1237">
        <v>403735.6</v>
      </c>
      <c r="N15" s="1597" t="s">
        <v>4191</v>
      </c>
      <c r="O15" s="936"/>
      <c r="P15" s="936"/>
      <c r="Q15" s="936"/>
      <c r="R15" s="936"/>
      <c r="S15" s="936"/>
      <c r="T15" s="936"/>
      <c r="U15" s="936"/>
      <c r="V15" s="936"/>
      <c r="W15" s="936"/>
    </row>
    <row r="16" spans="1:23" ht="79.5" customHeight="1">
      <c r="A16" s="1">
        <v>2020</v>
      </c>
      <c r="B16" s="1">
        <v>13</v>
      </c>
      <c r="C16" s="1227" t="s">
        <v>2735</v>
      </c>
      <c r="D16" s="1230" t="str">
        <f>OBRA!Q438</f>
        <v>CONSTRUCCIÓN DE EMPEDRADO ZAMPEADO EN VIALIDAD FRANCISCO I MADERO DEL KM 0+000 AL 0+173.50 ENTRE BENITO JUAREZ Y CERRADA, EN LA LOCALIDAD DE POTRERILLOS DEL MUNICIPIO DE JOCOTEPEC, JALISCO.</v>
      </c>
      <c r="E16" s="1492"/>
      <c r="F16" s="1231" t="s">
        <v>3403</v>
      </c>
      <c r="G16" s="1228" t="s">
        <v>2518</v>
      </c>
      <c r="H16" s="939" t="s">
        <v>2524</v>
      </c>
      <c r="I16" s="939">
        <v>20.33841</v>
      </c>
      <c r="J16" s="939">
        <v>103.38097399999999</v>
      </c>
      <c r="K16" s="1236">
        <v>812</v>
      </c>
      <c r="L16" s="1236">
        <v>203</v>
      </c>
      <c r="M16" s="1237">
        <v>193929.96</v>
      </c>
      <c r="N16" s="1597" t="s">
        <v>4192</v>
      </c>
      <c r="O16" s="936"/>
      <c r="P16" s="936"/>
      <c r="Q16" s="936"/>
      <c r="R16" s="936"/>
      <c r="S16" s="936"/>
      <c r="T16" s="936"/>
      <c r="U16" s="936"/>
      <c r="V16" s="936"/>
      <c r="W16" s="936"/>
    </row>
    <row r="17" spans="1:23" ht="79.5" customHeight="1">
      <c r="A17" s="1">
        <v>2020</v>
      </c>
      <c r="B17" s="1">
        <v>14</v>
      </c>
      <c r="C17" s="1227" t="s">
        <v>2735</v>
      </c>
      <c r="D17" s="1230" t="str">
        <f>OBRA!Q438</f>
        <v>CONSTRUCCIÓN DE EMPEDRADO ZAMPEADO EN VIALIDAD FRANCISCO I MADERO DEL KM 0+000 AL 0+173.50 ENTRE BENITO JUAREZ Y CERRADA, EN LA LOCALIDAD DE POTRERILLOS DEL MUNICIPIO DE JOCOTEPEC, JALISCO.</v>
      </c>
      <c r="E17" s="1492"/>
      <c r="F17" s="1231" t="s">
        <v>3404</v>
      </c>
      <c r="G17" s="1228" t="s">
        <v>2518</v>
      </c>
      <c r="H17" s="939" t="s">
        <v>3428</v>
      </c>
      <c r="I17" s="939">
        <v>20.338349999999998</v>
      </c>
      <c r="J17" s="939">
        <f>'ADMININSTRACIÓN DIR - OBRA'!AM439</f>
        <v>103.381462</v>
      </c>
      <c r="K17" s="1236">
        <v>1388</v>
      </c>
      <c r="L17" s="1236">
        <v>347</v>
      </c>
      <c r="M17" s="1237">
        <v>331496.03999999998</v>
      </c>
      <c r="N17" s="1597" t="s">
        <v>4192</v>
      </c>
      <c r="O17" s="936"/>
      <c r="P17" s="936"/>
      <c r="Q17" s="936"/>
      <c r="R17" s="936"/>
      <c r="S17" s="936"/>
      <c r="T17" s="936"/>
      <c r="U17" s="936"/>
      <c r="V17" s="936"/>
      <c r="W17" s="936"/>
    </row>
    <row r="18" spans="1:23" ht="95.25" customHeight="1">
      <c r="A18" s="1">
        <v>2020</v>
      </c>
      <c r="B18" s="1">
        <v>15</v>
      </c>
      <c r="C18" s="1227" t="s">
        <v>3243</v>
      </c>
      <c r="D18" s="1230" t="str">
        <f>OBRA!Q447</f>
        <v>CONSTRUCCIÓN DE EMPEDRADO ZAMPEADO, EN FRACC. "EL CARRIZAL", EN LA CABECERA MUNICIPAL DE JOCOTEPEC JALISCO.</v>
      </c>
      <c r="E18" s="1492"/>
      <c r="F18" s="1231" t="s">
        <v>3405</v>
      </c>
      <c r="G18" s="1228" t="s">
        <v>1975</v>
      </c>
      <c r="H18" s="939" t="s">
        <v>2551</v>
      </c>
      <c r="I18" s="939">
        <v>20.291376</v>
      </c>
      <c r="J18" s="939">
        <v>103.440166</v>
      </c>
      <c r="K18" s="1236">
        <v>1155</v>
      </c>
      <c r="L18" s="1236">
        <v>330</v>
      </c>
      <c r="M18" s="1237">
        <v>279231.15000000002</v>
      </c>
      <c r="N18" s="1597" t="s">
        <v>5407</v>
      </c>
      <c r="O18" s="936"/>
      <c r="P18" s="936"/>
      <c r="Q18" s="936"/>
      <c r="R18" s="936"/>
      <c r="S18" s="936"/>
      <c r="T18" s="936"/>
      <c r="U18" s="936"/>
      <c r="V18" s="936"/>
      <c r="W18" s="936"/>
    </row>
    <row r="19" spans="1:23" ht="51">
      <c r="A19" s="1">
        <v>2020</v>
      </c>
      <c r="B19" s="1">
        <v>16</v>
      </c>
      <c r="C19" s="1227" t="s">
        <v>3243</v>
      </c>
      <c r="D19" s="1230" t="str">
        <f>OBRA!Q447</f>
        <v>CONSTRUCCIÓN DE EMPEDRADO ZAMPEADO, EN FRACC. "EL CARRIZAL", EN LA CABECERA MUNICIPAL DE JOCOTEPEC JALISCO.</v>
      </c>
      <c r="E19" s="1492"/>
      <c r="F19" s="1231" t="s">
        <v>3406</v>
      </c>
      <c r="G19" s="1228" t="s">
        <v>1975</v>
      </c>
      <c r="H19" s="939" t="s">
        <v>3429</v>
      </c>
      <c r="I19" s="939">
        <v>20.291602999999999</v>
      </c>
      <c r="J19" s="939">
        <v>103.44114999999999</v>
      </c>
      <c r="K19" s="1236">
        <v>364</v>
      </c>
      <c r="L19" s="1236">
        <v>104</v>
      </c>
      <c r="M19" s="1237">
        <v>88000.12</v>
      </c>
      <c r="N19" s="1597" t="s">
        <v>5407</v>
      </c>
      <c r="O19" s="936"/>
      <c r="P19" s="936"/>
      <c r="Q19" s="936"/>
      <c r="R19" s="936"/>
      <c r="S19" s="936"/>
      <c r="T19" s="936"/>
      <c r="U19" s="936"/>
      <c r="V19" s="936"/>
      <c r="W19" s="936"/>
    </row>
    <row r="20" spans="1:23" ht="70.5" customHeight="1">
      <c r="A20" s="1">
        <v>2020</v>
      </c>
      <c r="B20" s="1">
        <v>17</v>
      </c>
      <c r="C20" s="1227" t="s">
        <v>3243</v>
      </c>
      <c r="D20" s="1230" t="str">
        <f>OBRA!Q447</f>
        <v>CONSTRUCCIÓN DE EMPEDRADO ZAMPEADO, EN FRACC. "EL CARRIZAL", EN LA CABECERA MUNICIPAL DE JOCOTEPEC JALISCO.</v>
      </c>
      <c r="E20" s="1492"/>
      <c r="F20" s="1231" t="s">
        <v>3407</v>
      </c>
      <c r="G20" s="1228" t="s">
        <v>1975</v>
      </c>
      <c r="H20" s="939" t="s">
        <v>3430</v>
      </c>
      <c r="I20" s="939">
        <v>20.291602999999999</v>
      </c>
      <c r="J20" s="939">
        <v>103.44069500000001</v>
      </c>
      <c r="K20" s="939">
        <v>20.291602999999999</v>
      </c>
      <c r="L20" s="1236">
        <v>102</v>
      </c>
      <c r="M20" s="1237">
        <v>86307.81</v>
      </c>
      <c r="N20" s="1597" t="s">
        <v>5407</v>
      </c>
      <c r="O20" s="936"/>
      <c r="P20" s="936"/>
      <c r="Q20" s="936"/>
      <c r="R20" s="936"/>
      <c r="S20" s="936"/>
      <c r="T20" s="936"/>
      <c r="U20" s="936"/>
      <c r="V20" s="936"/>
      <c r="W20" s="936"/>
    </row>
    <row r="21" spans="1:23" ht="74.25" customHeight="1">
      <c r="A21" s="1">
        <v>2020</v>
      </c>
      <c r="B21" s="1">
        <v>18</v>
      </c>
      <c r="C21" s="1227" t="s">
        <v>3243</v>
      </c>
      <c r="D21" s="1230" t="str">
        <f>OBRA!Q447</f>
        <v>CONSTRUCCIÓN DE EMPEDRADO ZAMPEADO, EN FRACC. "EL CARRIZAL", EN LA CABECERA MUNICIPAL DE JOCOTEPEC JALISCO.</v>
      </c>
      <c r="E21" s="1492"/>
      <c r="F21" s="1231" t="s">
        <v>3408</v>
      </c>
      <c r="G21" s="1228" t="s">
        <v>1975</v>
      </c>
      <c r="H21" s="939" t="s">
        <v>3430</v>
      </c>
      <c r="I21" s="939">
        <v>20.292460999999999</v>
      </c>
      <c r="J21" s="939">
        <v>103.440551</v>
      </c>
      <c r="K21" s="1236">
        <v>399</v>
      </c>
      <c r="L21" s="1236">
        <v>114</v>
      </c>
      <c r="M21" s="1237">
        <v>96461.67</v>
      </c>
      <c r="N21" s="1597" t="s">
        <v>5407</v>
      </c>
      <c r="O21" s="936"/>
      <c r="P21" s="936"/>
      <c r="Q21" s="936"/>
      <c r="R21" s="936"/>
      <c r="S21" s="936"/>
      <c r="T21" s="936"/>
      <c r="U21" s="936"/>
      <c r="V21" s="936"/>
      <c r="W21" s="936"/>
    </row>
    <row r="22" spans="1:23" ht="68.25" customHeight="1">
      <c r="A22" s="1">
        <v>2020</v>
      </c>
      <c r="B22" s="1">
        <v>19</v>
      </c>
      <c r="C22" s="1227" t="s">
        <v>3243</v>
      </c>
      <c r="D22" s="1230" t="str">
        <f>OBRA!Q447</f>
        <v>CONSTRUCCIÓN DE EMPEDRADO ZAMPEADO, EN FRACC. "EL CARRIZAL", EN LA CABECERA MUNICIPAL DE JOCOTEPEC JALISCO.</v>
      </c>
      <c r="E22" s="1492"/>
      <c r="F22" s="1231" t="s">
        <v>3409</v>
      </c>
      <c r="G22" s="1228" t="s">
        <v>1975</v>
      </c>
      <c r="H22" s="939" t="s">
        <v>3431</v>
      </c>
      <c r="I22" s="939">
        <v>20.291197</v>
      </c>
      <c r="J22" s="939">
        <v>103.440383</v>
      </c>
      <c r="K22" s="1236">
        <v>441</v>
      </c>
      <c r="L22" s="1236">
        <v>126</v>
      </c>
      <c r="M22" s="1237">
        <v>106615.53</v>
      </c>
      <c r="N22" s="1597" t="s">
        <v>5407</v>
      </c>
      <c r="O22" s="936"/>
      <c r="P22" s="936"/>
      <c r="Q22" s="936"/>
      <c r="R22" s="936"/>
      <c r="S22" s="936"/>
      <c r="T22" s="936"/>
      <c r="U22" s="936"/>
      <c r="V22" s="936"/>
      <c r="W22" s="936"/>
    </row>
    <row r="23" spans="1:23" ht="61.5" customHeight="1">
      <c r="A23" s="1">
        <v>2020</v>
      </c>
      <c r="B23" s="1">
        <v>20</v>
      </c>
      <c r="C23" s="1227" t="s">
        <v>3243</v>
      </c>
      <c r="D23" s="1230" t="str">
        <f>OBRA!Q447</f>
        <v>CONSTRUCCIÓN DE EMPEDRADO ZAMPEADO, EN FRACC. "EL CARRIZAL", EN LA CABECERA MUNICIPAL DE JOCOTEPEC JALISCO.</v>
      </c>
      <c r="E23" s="1492"/>
      <c r="F23" s="1231" t="s">
        <v>3410</v>
      </c>
      <c r="G23" s="1228" t="s">
        <v>1975</v>
      </c>
      <c r="H23" s="939" t="s">
        <v>3431</v>
      </c>
      <c r="I23" s="939">
        <v>20.291730000000001</v>
      </c>
      <c r="J23" s="939">
        <v>103.44028400000001</v>
      </c>
      <c r="K23" s="1236">
        <v>357</v>
      </c>
      <c r="L23" s="1236">
        <v>102</v>
      </c>
      <c r="M23" s="1237">
        <v>86307.81</v>
      </c>
      <c r="N23" s="1597" t="s">
        <v>5407</v>
      </c>
      <c r="O23" s="936"/>
      <c r="P23" s="936"/>
      <c r="Q23" s="936"/>
      <c r="R23" s="936"/>
      <c r="S23" s="936"/>
      <c r="T23" s="936"/>
      <c r="U23" s="936"/>
      <c r="V23" s="936"/>
      <c r="W23" s="936"/>
    </row>
    <row r="24" spans="1:23" ht="74.25" customHeight="1">
      <c r="A24" s="1">
        <v>2020</v>
      </c>
      <c r="B24" s="1">
        <v>21</v>
      </c>
      <c r="C24" s="1227" t="s">
        <v>3243</v>
      </c>
      <c r="D24" s="1230" t="str">
        <f>OBRA!Q447</f>
        <v>CONSTRUCCIÓN DE EMPEDRADO ZAMPEADO, EN FRACC. "EL CARRIZAL", EN LA CABECERA MUNICIPAL DE JOCOTEPEC JALISCO.</v>
      </c>
      <c r="E24" s="1492"/>
      <c r="F24" s="1231" t="s">
        <v>3411</v>
      </c>
      <c r="G24" s="1228" t="s">
        <v>1975</v>
      </c>
      <c r="H24" s="939" t="s">
        <v>3431</v>
      </c>
      <c r="I24" s="939">
        <v>20.292584999999999</v>
      </c>
      <c r="J24" s="939">
        <v>103.440146</v>
      </c>
      <c r="K24" s="1236">
        <v>427</v>
      </c>
      <c r="L24" s="1236">
        <v>122</v>
      </c>
      <c r="M24" s="1237">
        <v>103230.91</v>
      </c>
      <c r="N24" s="1597" t="s">
        <v>5407</v>
      </c>
      <c r="O24" s="936"/>
      <c r="P24" s="936"/>
      <c r="Q24" s="936"/>
      <c r="R24" s="936"/>
      <c r="S24" s="936"/>
      <c r="T24" s="936"/>
      <c r="U24" s="936"/>
      <c r="V24" s="936"/>
      <c r="W24" s="936"/>
    </row>
    <row r="25" spans="1:23" ht="51">
      <c r="A25" s="1">
        <v>2020</v>
      </c>
      <c r="B25" s="1">
        <v>22</v>
      </c>
      <c r="C25" s="1227" t="s">
        <v>3245</v>
      </c>
      <c r="D25" s="1230" t="str">
        <f>OBRA!Q449</f>
        <v>CONSTRUCCIÓN DE EMPEDRADO ZAMPEADO EN VIALIDAD CALLE HIDALGO SUR DE KM 0+000.00 AL KM 0+170.00 (DE DONATO GUERRA A EMPEDRADO EXISTENTE), EN LA CEBECERA MUNICIPAL DE JOCOTEPEC, JALISCO.</v>
      </c>
      <c r="E25" s="1492"/>
      <c r="F25" s="1231" t="s">
        <v>3412</v>
      </c>
      <c r="G25" s="1228" t="s">
        <v>1975</v>
      </c>
      <c r="H25" s="939" t="s">
        <v>3425</v>
      </c>
      <c r="I25" s="939">
        <f>'ADMININSTRACIÓN DIR - OBRA'!AL450</f>
        <v>20.279517999999999</v>
      </c>
      <c r="J25" s="1555">
        <f>'ADMININSTRACIÓN DIR - OBRA'!AM450</f>
        <v>103.43153</v>
      </c>
      <c r="K25" s="1236">
        <v>1557.6419999999998</v>
      </c>
      <c r="L25" s="1236">
        <v>340</v>
      </c>
      <c r="M25" s="1237">
        <v>367959.98</v>
      </c>
      <c r="N25" s="1597" t="s">
        <v>4027</v>
      </c>
      <c r="O25" s="936"/>
      <c r="P25" s="936"/>
      <c r="Q25" s="936"/>
      <c r="R25" s="936"/>
      <c r="S25" s="936"/>
      <c r="T25" s="936"/>
      <c r="U25" s="936"/>
      <c r="V25" s="936"/>
      <c r="W25" s="936"/>
    </row>
    <row r="26" spans="1:23" ht="102" customHeight="1">
      <c r="A26" s="1">
        <v>2020</v>
      </c>
      <c r="B26" s="1">
        <v>23</v>
      </c>
      <c r="C26" s="1227" t="s">
        <v>3247</v>
      </c>
      <c r="D26" s="1230" t="str">
        <f>OBRA!Q452</f>
        <v>CONSTRUCCIÓN DE EMPEDRADO ZAMPEADO EN FRACC. "LAS PALMAS", EN LA CABECERA MUNICIPAL DE JOCOTEPEC, JALISCO.</v>
      </c>
      <c r="E26" s="1492"/>
      <c r="F26" s="1231" t="s">
        <v>3413</v>
      </c>
      <c r="G26" s="1228" t="s">
        <v>1975</v>
      </c>
      <c r="H26" s="939" t="s">
        <v>3432</v>
      </c>
      <c r="I26" s="939">
        <v>20.279789000000001</v>
      </c>
      <c r="J26" s="1555">
        <v>103.44596</v>
      </c>
      <c r="K26" s="1236">
        <v>1233.7175400000001</v>
      </c>
      <c r="L26" s="1236">
        <v>316.2</v>
      </c>
      <c r="M26" s="1237">
        <v>295285.95</v>
      </c>
      <c r="N26" s="1597" t="s">
        <v>4195</v>
      </c>
      <c r="O26" s="936"/>
      <c r="P26" s="936"/>
      <c r="Q26" s="936"/>
      <c r="R26" s="936"/>
      <c r="S26" s="936"/>
      <c r="T26" s="936"/>
      <c r="U26" s="936"/>
      <c r="V26" s="936"/>
      <c r="W26" s="936"/>
    </row>
    <row r="27" spans="1:23" ht="105" customHeight="1">
      <c r="A27" s="1">
        <v>2020</v>
      </c>
      <c r="B27" s="1">
        <v>24</v>
      </c>
      <c r="C27" s="1227" t="s">
        <v>3247</v>
      </c>
      <c r="D27" s="1230" t="str">
        <f>OBRA!Q452</f>
        <v>CONSTRUCCIÓN DE EMPEDRADO ZAMPEADO EN FRACC. "LAS PALMAS", EN LA CABECERA MUNICIPAL DE JOCOTEPEC, JALISCO.</v>
      </c>
      <c r="E27" s="1492"/>
      <c r="F27" s="1231" t="s">
        <v>3414</v>
      </c>
      <c r="G27" s="1228" t="s">
        <v>1975</v>
      </c>
      <c r="H27" s="939" t="s">
        <v>3424</v>
      </c>
      <c r="I27" s="939">
        <v>20.280190999999999</v>
      </c>
      <c r="J27" s="939">
        <v>103.445891</v>
      </c>
      <c r="K27" s="1236">
        <v>862.99199999999996</v>
      </c>
      <c r="L27" s="1236">
        <v>221.28</v>
      </c>
      <c r="M27" s="1237">
        <v>206562</v>
      </c>
      <c r="N27" s="1597" t="s">
        <v>4195</v>
      </c>
      <c r="O27" s="936"/>
      <c r="P27" s="936"/>
      <c r="Q27" s="936"/>
      <c r="R27" s="936"/>
      <c r="S27" s="936"/>
      <c r="T27" s="936"/>
      <c r="U27" s="936"/>
      <c r="V27" s="936"/>
      <c r="W27" s="936"/>
    </row>
    <row r="28" spans="1:23" ht="105" customHeight="1">
      <c r="A28" s="1">
        <v>2020</v>
      </c>
      <c r="B28" s="1">
        <v>25</v>
      </c>
      <c r="C28" s="1227" t="s">
        <v>3247</v>
      </c>
      <c r="D28" s="1230" t="str">
        <f>OBRA!Q452</f>
        <v>CONSTRUCCIÓN DE EMPEDRADO ZAMPEADO EN FRACC. "LAS PALMAS", EN LA CABECERA MUNICIPAL DE JOCOTEPEC, JALISCO.</v>
      </c>
      <c r="E28" s="1492"/>
      <c r="F28" s="1231" t="s">
        <v>3415</v>
      </c>
      <c r="G28" s="1228" t="s">
        <v>1975</v>
      </c>
      <c r="H28" s="939" t="s">
        <v>3433</v>
      </c>
      <c r="I28" s="939">
        <v>20.280235000000001</v>
      </c>
      <c r="J28" s="939">
        <v>103.446359</v>
      </c>
      <c r="K28" s="1236">
        <v>863.43456000000003</v>
      </c>
      <c r="L28" s="1236">
        <v>221.28</v>
      </c>
      <c r="M28" s="1237">
        <v>206658.63</v>
      </c>
      <c r="N28" s="1597" t="s">
        <v>4195</v>
      </c>
      <c r="O28" s="936"/>
      <c r="P28" s="936"/>
      <c r="Q28" s="936"/>
      <c r="R28" s="936"/>
      <c r="S28" s="936"/>
      <c r="T28" s="936"/>
      <c r="U28" s="936"/>
      <c r="V28" s="936"/>
      <c r="W28" s="936"/>
    </row>
    <row r="29" spans="1:23" ht="105" customHeight="1">
      <c r="A29" s="1">
        <v>2020</v>
      </c>
      <c r="B29" s="1">
        <v>26</v>
      </c>
      <c r="C29" s="1227" t="s">
        <v>3247</v>
      </c>
      <c r="D29" s="1230" t="str">
        <f>OBRA!Q452</f>
        <v>CONSTRUCCIÓN DE EMPEDRADO ZAMPEADO EN FRACC. "LAS PALMAS", EN LA CABECERA MUNICIPAL DE JOCOTEPEC, JALISCO.</v>
      </c>
      <c r="E29" s="1492"/>
      <c r="F29" s="1231" t="s">
        <v>3416</v>
      </c>
      <c r="G29" s="1228" t="s">
        <v>1975</v>
      </c>
      <c r="H29" s="939" t="s">
        <v>3434</v>
      </c>
      <c r="I29" s="1555">
        <v>20.280069999999998</v>
      </c>
      <c r="J29" s="1555">
        <v>103.44523100000001</v>
      </c>
      <c r="K29" s="1236">
        <v>616.35599999999999</v>
      </c>
      <c r="L29" s="1236">
        <v>158.04</v>
      </c>
      <c r="M29" s="1237">
        <v>147528.29</v>
      </c>
      <c r="N29" s="1597" t="s">
        <v>4195</v>
      </c>
      <c r="O29" s="936"/>
      <c r="P29" s="936"/>
      <c r="Q29" s="936"/>
      <c r="R29" s="936"/>
      <c r="S29" s="936"/>
      <c r="T29" s="936"/>
      <c r="U29" s="936"/>
      <c r="V29" s="936"/>
      <c r="W29" s="936"/>
    </row>
    <row r="30" spans="1:23" ht="51">
      <c r="A30" s="1">
        <v>2020</v>
      </c>
      <c r="B30" s="1">
        <v>27</v>
      </c>
      <c r="C30" s="1227" t="s">
        <v>3250</v>
      </c>
      <c r="D30" s="1230" t="str">
        <f>OBRA!Q453</f>
        <v>CONSTRUCCIÓN DE EMPEDRADO ZAMPEADO EN C. INVIERNO, C. LAZARO CARDENAS, C. GONZALEZ ORTEGA Y CHAPULTEPEC EN CABECERA MUNICIPAL DE JOCOTEPEC, JALISCO.</v>
      </c>
      <c r="E30" s="1492"/>
      <c r="F30" s="1231" t="s">
        <v>3417</v>
      </c>
      <c r="G30" s="1228" t="s">
        <v>1975</v>
      </c>
      <c r="H30" s="939" t="s">
        <v>2700</v>
      </c>
      <c r="I30" s="1555">
        <v>20.292809999999999</v>
      </c>
      <c r="J30" s="1555">
        <v>103.43651199999999</v>
      </c>
      <c r="K30" s="1236">
        <v>456</v>
      </c>
      <c r="L30" s="1236">
        <v>114</v>
      </c>
      <c r="M30" s="1237">
        <v>108906.48</v>
      </c>
      <c r="N30" s="1597" t="s">
        <v>4028</v>
      </c>
      <c r="O30" s="936"/>
      <c r="P30" s="936"/>
      <c r="Q30" s="936"/>
      <c r="R30" s="936"/>
      <c r="S30" s="936"/>
      <c r="T30" s="936"/>
      <c r="U30" s="936"/>
      <c r="V30" s="936"/>
      <c r="W30" s="936"/>
    </row>
    <row r="31" spans="1:23" ht="51">
      <c r="A31" s="1">
        <v>2020</v>
      </c>
      <c r="B31" s="1">
        <v>28</v>
      </c>
      <c r="C31" s="1227" t="s">
        <v>3250</v>
      </c>
      <c r="D31" s="1230" t="str">
        <f>OBRA!Q453</f>
        <v>CONSTRUCCIÓN DE EMPEDRADO ZAMPEADO EN C. INVIERNO, C. LAZARO CARDENAS, C. GONZALEZ ORTEGA Y CHAPULTEPEC EN CABECERA MUNICIPAL DE JOCOTEPEC, JALISCO.</v>
      </c>
      <c r="E31" s="1492"/>
      <c r="F31" s="1231" t="s">
        <v>3418</v>
      </c>
      <c r="G31" s="1228" t="s">
        <v>1975</v>
      </c>
      <c r="H31" s="939" t="s">
        <v>3435</v>
      </c>
      <c r="I31" s="1555">
        <v>20.292225999999999</v>
      </c>
      <c r="J31" s="1555">
        <v>103.436307</v>
      </c>
      <c r="K31" s="1236">
        <v>792.9215999999999</v>
      </c>
      <c r="L31" s="1236">
        <v>198.23</v>
      </c>
      <c r="M31" s="1237">
        <v>189373.43</v>
      </c>
      <c r="N31" s="1597" t="s">
        <v>4028</v>
      </c>
      <c r="O31" s="936"/>
      <c r="P31" s="936"/>
      <c r="Q31" s="936"/>
      <c r="R31" s="936"/>
      <c r="S31" s="936"/>
      <c r="T31" s="936"/>
      <c r="U31" s="936"/>
      <c r="V31" s="936"/>
      <c r="W31" s="936"/>
    </row>
    <row r="32" spans="1:23" ht="51">
      <c r="A32" s="1">
        <v>2020</v>
      </c>
      <c r="B32" s="1">
        <v>29</v>
      </c>
      <c r="C32" s="1227" t="s">
        <v>3250</v>
      </c>
      <c r="D32" s="1230" t="str">
        <f>OBRA!Q453</f>
        <v>CONSTRUCCIÓN DE EMPEDRADO ZAMPEADO EN C. INVIERNO, C. LAZARO CARDENAS, C. GONZALEZ ORTEGA Y CHAPULTEPEC EN CABECERA MUNICIPAL DE JOCOTEPEC, JALISCO.</v>
      </c>
      <c r="E32" s="1492"/>
      <c r="F32" s="1231" t="s">
        <v>3419</v>
      </c>
      <c r="G32" s="1228" t="s">
        <v>1975</v>
      </c>
      <c r="H32" s="939" t="s">
        <v>3436</v>
      </c>
      <c r="I32" s="1555">
        <v>20.281518999999999</v>
      </c>
      <c r="J32" s="1555">
        <v>103.42460800000001</v>
      </c>
      <c r="K32" s="1236">
        <v>480.8</v>
      </c>
      <c r="L32" s="1236">
        <v>120.2</v>
      </c>
      <c r="M32" s="1237">
        <v>114829.46</v>
      </c>
      <c r="N32" s="1597" t="s">
        <v>4028</v>
      </c>
      <c r="O32" s="936"/>
      <c r="P32" s="936"/>
      <c r="Q32" s="936"/>
      <c r="R32" s="936"/>
      <c r="S32" s="936"/>
      <c r="T32" s="936"/>
      <c r="U32" s="936"/>
      <c r="V32" s="936"/>
      <c r="W32" s="936"/>
    </row>
    <row r="33" spans="1:23" ht="51">
      <c r="A33" s="1">
        <v>2020</v>
      </c>
      <c r="B33" s="1">
        <v>30</v>
      </c>
      <c r="C33" s="1227" t="s">
        <v>3247</v>
      </c>
      <c r="D33" s="1230" t="str">
        <f>OBRA!Q452</f>
        <v>CONSTRUCCIÓN DE EMPEDRADO ZAMPEADO EN FRACC. "LAS PALMAS", EN LA CABECERA MUNICIPAL DE JOCOTEPEC, JALISCO.</v>
      </c>
      <c r="E33" s="1492"/>
      <c r="F33" s="1231" t="s">
        <v>3420</v>
      </c>
      <c r="G33" s="1228" t="s">
        <v>2515</v>
      </c>
      <c r="H33" s="939" t="s">
        <v>3146</v>
      </c>
      <c r="I33" s="939">
        <v>20.277873</v>
      </c>
      <c r="J33" s="939">
        <v>103.435236</v>
      </c>
      <c r="K33" s="1236">
        <v>740.62400000000002</v>
      </c>
      <c r="L33" s="1236">
        <v>214</v>
      </c>
      <c r="M33" s="1237">
        <v>179248.44</v>
      </c>
      <c r="N33" s="1597" t="s">
        <v>4028</v>
      </c>
      <c r="O33" s="936"/>
      <c r="P33" s="936"/>
      <c r="Q33" s="936"/>
      <c r="R33" s="936"/>
      <c r="S33" s="936"/>
      <c r="T33" s="936"/>
      <c r="U33" s="936"/>
      <c r="V33" s="936"/>
      <c r="W33" s="936"/>
    </row>
    <row r="34" spans="1:23" ht="51">
      <c r="A34" s="1">
        <v>2020</v>
      </c>
      <c r="B34" s="1">
        <v>31</v>
      </c>
      <c r="C34" s="1227" t="s">
        <v>3250</v>
      </c>
      <c r="D34" s="1230" t="str">
        <f>OBRA!Q453</f>
        <v>CONSTRUCCIÓN DE EMPEDRADO ZAMPEADO EN C. INVIERNO, C. LAZARO CARDENAS, C. GONZALEZ ORTEGA Y CHAPULTEPEC EN CABECERA MUNICIPAL DE JOCOTEPEC, JALISCO.</v>
      </c>
      <c r="E34" s="1492"/>
      <c r="F34" s="1231" t="s">
        <v>3421</v>
      </c>
      <c r="G34" s="1228" t="s">
        <v>1975</v>
      </c>
      <c r="H34" s="939" t="s">
        <v>3146</v>
      </c>
      <c r="I34" s="939">
        <v>20.279264999999999</v>
      </c>
      <c r="J34" s="939">
        <v>103.446291</v>
      </c>
      <c r="K34" s="1236">
        <v>3798.15</v>
      </c>
      <c r="L34" s="1236">
        <v>600</v>
      </c>
      <c r="M34" s="1237">
        <v>878450.09</v>
      </c>
      <c r="N34" s="1597" t="s">
        <v>4028</v>
      </c>
      <c r="O34" s="936"/>
      <c r="P34" s="936"/>
      <c r="Q34" s="936"/>
      <c r="R34" s="936"/>
      <c r="S34" s="936"/>
      <c r="T34" s="936"/>
      <c r="U34" s="936"/>
      <c r="V34" s="936"/>
      <c r="W34" s="936"/>
    </row>
    <row r="35" spans="1:23" ht="74.25" customHeight="1">
      <c r="A35" s="1">
        <v>2021</v>
      </c>
      <c r="B35" s="1">
        <v>1</v>
      </c>
      <c r="C35" s="1227" t="s">
        <v>4051</v>
      </c>
      <c r="D35" s="1230" t="s">
        <v>4058</v>
      </c>
      <c r="E35" s="1492"/>
      <c r="F35" s="1231" t="s">
        <v>4064</v>
      </c>
      <c r="G35" s="1228" t="s">
        <v>2541</v>
      </c>
      <c r="H35" s="939" t="s">
        <v>4076</v>
      </c>
      <c r="I35" s="939">
        <v>20.289552</v>
      </c>
      <c r="J35" s="939">
        <v>103.412727</v>
      </c>
      <c r="K35" s="1">
        <v>231</v>
      </c>
      <c r="L35" s="1">
        <v>21</v>
      </c>
      <c r="M35" s="1237">
        <v>80674.649999999994</v>
      </c>
      <c r="N35" s="1597" t="s">
        <v>4461</v>
      </c>
      <c r="O35" s="936"/>
      <c r="P35" s="936"/>
      <c r="Q35" s="936"/>
      <c r="R35" s="936"/>
      <c r="S35" s="936"/>
      <c r="T35" s="936"/>
      <c r="U35" s="936"/>
      <c r="V35" s="936"/>
      <c r="W35" s="936"/>
    </row>
    <row r="36" spans="1:23" ht="61.5" customHeight="1">
      <c r="A36" s="1">
        <v>2021</v>
      </c>
      <c r="B36" s="1">
        <f t="shared" ref="B36:B46" si="0">+B35+1</f>
        <v>2</v>
      </c>
      <c r="C36" s="1227" t="s">
        <v>4052</v>
      </c>
      <c r="D36" s="1490" t="s">
        <v>4081</v>
      </c>
      <c r="E36" s="1492"/>
      <c r="F36" s="1231" t="s">
        <v>4065</v>
      </c>
      <c r="G36" s="1228" t="s">
        <v>2515</v>
      </c>
      <c r="H36" s="939" t="s">
        <v>4077</v>
      </c>
      <c r="I36" s="1555">
        <v>20.27825</v>
      </c>
      <c r="J36" s="939">
        <v>103.434836</v>
      </c>
      <c r="K36" s="1">
        <v>805.55</v>
      </c>
      <c r="L36" s="1">
        <v>173</v>
      </c>
      <c r="M36" s="1237">
        <v>294677.68</v>
      </c>
      <c r="N36" s="1597" t="s">
        <v>4462</v>
      </c>
      <c r="O36" s="936"/>
      <c r="P36" s="936"/>
      <c r="Q36" s="936"/>
      <c r="R36" s="936"/>
      <c r="S36" s="936"/>
      <c r="T36" s="936"/>
      <c r="U36" s="936"/>
      <c r="V36" s="936"/>
      <c r="W36" s="936"/>
    </row>
    <row r="37" spans="1:23" ht="74.25" customHeight="1">
      <c r="A37" s="1">
        <v>2021</v>
      </c>
      <c r="B37" s="1">
        <f t="shared" si="0"/>
        <v>3</v>
      </c>
      <c r="C37" s="1227" t="s">
        <v>4052</v>
      </c>
      <c r="D37" s="1490" t="s">
        <v>4081</v>
      </c>
      <c r="E37" s="1492"/>
      <c r="F37" s="1231" t="s">
        <v>4066</v>
      </c>
      <c r="G37" s="1228" t="s">
        <v>2515</v>
      </c>
      <c r="H37" s="939" t="s">
        <v>4078</v>
      </c>
      <c r="I37" s="939">
        <v>20.278542999999999</v>
      </c>
      <c r="J37" s="939" t="s">
        <v>5406</v>
      </c>
      <c r="K37" s="1">
        <v>1130.32</v>
      </c>
      <c r="L37" s="1">
        <v>166</v>
      </c>
      <c r="M37" s="1237">
        <v>403213.08</v>
      </c>
      <c r="N37" s="1597" t="s">
        <v>4463</v>
      </c>
      <c r="O37" s="936"/>
      <c r="P37" s="936"/>
      <c r="Q37" s="936"/>
      <c r="R37" s="936"/>
      <c r="S37" s="936"/>
      <c r="T37" s="936"/>
      <c r="U37" s="936"/>
      <c r="V37" s="936"/>
      <c r="W37" s="936"/>
    </row>
    <row r="38" spans="1:23" ht="75.75" customHeight="1">
      <c r="A38" s="1">
        <v>2021</v>
      </c>
      <c r="B38" s="1">
        <f t="shared" si="0"/>
        <v>4</v>
      </c>
      <c r="C38" s="1227" t="s">
        <v>4052</v>
      </c>
      <c r="D38" s="1490" t="s">
        <v>4081</v>
      </c>
      <c r="E38" s="1492"/>
      <c r="F38" s="1231" t="s">
        <v>4067</v>
      </c>
      <c r="G38" s="1228" t="s">
        <v>2515</v>
      </c>
      <c r="H38" s="939" t="s">
        <v>3146</v>
      </c>
      <c r="I38" s="939">
        <v>20.278074</v>
      </c>
      <c r="J38" s="939">
        <v>103.436172</v>
      </c>
      <c r="K38" s="1">
        <v>736.37</v>
      </c>
      <c r="L38" s="1">
        <v>151.12</v>
      </c>
      <c r="M38" s="1237">
        <v>268430.62</v>
      </c>
      <c r="N38" s="1597" t="s">
        <v>4464</v>
      </c>
      <c r="O38" s="936"/>
      <c r="P38" s="936"/>
      <c r="Q38" s="936"/>
      <c r="R38" s="936"/>
      <c r="S38" s="936"/>
      <c r="T38" s="936"/>
      <c r="U38" s="936"/>
      <c r="V38" s="936"/>
      <c r="W38" s="936"/>
    </row>
    <row r="39" spans="1:23" ht="72" customHeight="1">
      <c r="A39" s="1">
        <v>2021</v>
      </c>
      <c r="B39" s="1">
        <f t="shared" si="0"/>
        <v>5</v>
      </c>
      <c r="C39" s="1227" t="s">
        <v>4053</v>
      </c>
      <c r="D39" s="1490" t="s">
        <v>4082</v>
      </c>
      <c r="E39" s="1492"/>
      <c r="F39" s="1231" t="s">
        <v>4068</v>
      </c>
      <c r="G39" s="1228" t="s">
        <v>2527</v>
      </c>
      <c r="H39" s="939" t="s">
        <v>3428</v>
      </c>
      <c r="I39" s="1555">
        <v>20.288530000000002</v>
      </c>
      <c r="J39" s="939">
        <v>103.341916</v>
      </c>
      <c r="K39" s="1">
        <v>545.85</v>
      </c>
      <c r="L39" s="1">
        <v>168</v>
      </c>
      <c r="M39" s="1237">
        <v>206469.58</v>
      </c>
      <c r="N39" s="1597" t="s">
        <v>4465</v>
      </c>
      <c r="O39" s="936"/>
      <c r="P39" s="936"/>
      <c r="Q39" s="936"/>
      <c r="R39" s="936"/>
      <c r="S39" s="936"/>
      <c r="T39" s="936"/>
      <c r="U39" s="936"/>
      <c r="V39" s="936"/>
      <c r="W39" s="936"/>
    </row>
    <row r="40" spans="1:23" ht="61.5" customHeight="1">
      <c r="A40" s="1">
        <v>2021</v>
      </c>
      <c r="B40" s="1">
        <f t="shared" si="0"/>
        <v>6</v>
      </c>
      <c r="C40" s="1227" t="s">
        <v>4053</v>
      </c>
      <c r="D40" s="1490" t="s">
        <v>4082</v>
      </c>
      <c r="E40" s="1492"/>
      <c r="F40" s="1231" t="s">
        <v>4069</v>
      </c>
      <c r="G40" s="1228" t="s">
        <v>2527</v>
      </c>
      <c r="H40" s="939" t="s">
        <v>2717</v>
      </c>
      <c r="I40" s="1555">
        <v>20.297000000000001</v>
      </c>
      <c r="J40" s="939">
        <v>103.35051199999999</v>
      </c>
      <c r="K40" s="1">
        <v>494.4</v>
      </c>
      <c r="L40" s="1">
        <v>155</v>
      </c>
      <c r="M40" s="1237">
        <v>182930.35</v>
      </c>
      <c r="N40" s="1597" t="s">
        <v>4466</v>
      </c>
      <c r="O40" s="936"/>
      <c r="P40" s="936"/>
      <c r="Q40" s="936"/>
      <c r="R40" s="936"/>
      <c r="S40" s="936"/>
      <c r="T40" s="936"/>
      <c r="U40" s="936"/>
      <c r="V40" s="936"/>
      <c r="W40" s="936"/>
    </row>
    <row r="41" spans="1:23" ht="63.75" customHeight="1">
      <c r="A41" s="1">
        <v>2021</v>
      </c>
      <c r="B41" s="1">
        <f t="shared" si="0"/>
        <v>7</v>
      </c>
      <c r="C41" s="1227" t="s">
        <v>4053</v>
      </c>
      <c r="D41" s="1490" t="s">
        <v>4082</v>
      </c>
      <c r="E41" s="1492"/>
      <c r="F41" s="1231" t="s">
        <v>4070</v>
      </c>
      <c r="G41" s="1228" t="s">
        <v>2527</v>
      </c>
      <c r="H41" s="939" t="s">
        <v>2706</v>
      </c>
      <c r="I41" s="939">
        <v>20.285381000000001</v>
      </c>
      <c r="J41" s="939">
        <v>103.336187</v>
      </c>
      <c r="K41" s="1">
        <v>497.78</v>
      </c>
      <c r="L41" s="1">
        <v>0</v>
      </c>
      <c r="M41" s="1237">
        <v>163301.75</v>
      </c>
      <c r="N41" s="1597" t="s">
        <v>4467</v>
      </c>
      <c r="O41" s="936"/>
      <c r="P41" s="936"/>
      <c r="Q41" s="936"/>
      <c r="R41" s="936"/>
      <c r="S41" s="936"/>
      <c r="T41" s="936"/>
      <c r="U41" s="936"/>
      <c r="V41" s="936"/>
      <c r="W41" s="936"/>
    </row>
    <row r="42" spans="1:23" ht="65.25" customHeight="1">
      <c r="A42" s="1">
        <v>2021</v>
      </c>
      <c r="B42" s="1">
        <f t="shared" si="0"/>
        <v>8</v>
      </c>
      <c r="C42" s="1227" t="s">
        <v>4053</v>
      </c>
      <c r="D42" s="1490" t="s">
        <v>4082</v>
      </c>
      <c r="E42" s="1492"/>
      <c r="F42" s="1231" t="s">
        <v>4071</v>
      </c>
      <c r="G42" s="1228" t="s">
        <v>2527</v>
      </c>
      <c r="H42" s="939" t="s">
        <v>2591</v>
      </c>
      <c r="I42" s="939">
        <v>20.287168000000001</v>
      </c>
      <c r="J42" s="939">
        <v>103.333978</v>
      </c>
      <c r="K42" s="1">
        <v>740.6</v>
      </c>
      <c r="L42" s="1">
        <v>269</v>
      </c>
      <c r="M42" s="1237">
        <v>278950.71000000002</v>
      </c>
      <c r="N42" s="1597" t="s">
        <v>4468</v>
      </c>
      <c r="O42" s="936"/>
      <c r="P42" s="936"/>
      <c r="Q42" s="936"/>
      <c r="R42" s="936"/>
      <c r="S42" s="936"/>
      <c r="T42" s="936"/>
      <c r="U42" s="936"/>
      <c r="V42" s="936"/>
      <c r="W42" s="936"/>
    </row>
    <row r="43" spans="1:23" ht="60" customHeight="1">
      <c r="A43" s="1">
        <v>2021</v>
      </c>
      <c r="B43" s="1">
        <f t="shared" si="0"/>
        <v>9</v>
      </c>
      <c r="C43" s="1227" t="s">
        <v>4054</v>
      </c>
      <c r="D43" s="1490" t="s">
        <v>4083</v>
      </c>
      <c r="E43" s="1492"/>
      <c r="F43" s="1231" t="s">
        <v>4072</v>
      </c>
      <c r="G43" s="1228" t="s">
        <v>2580</v>
      </c>
      <c r="H43" s="939" t="s">
        <v>2491</v>
      </c>
      <c r="I43" s="939">
        <v>20.287768</v>
      </c>
      <c r="J43" s="939">
        <v>103.415183</v>
      </c>
      <c r="K43" s="1">
        <v>2042.44</v>
      </c>
      <c r="L43" s="1">
        <v>0</v>
      </c>
      <c r="M43" s="1237">
        <v>688458.32</v>
      </c>
      <c r="N43" s="1597" t="s">
        <v>4469</v>
      </c>
      <c r="O43" s="936"/>
      <c r="P43" s="936"/>
      <c r="Q43" s="936"/>
      <c r="R43" s="936"/>
      <c r="S43" s="936"/>
      <c r="T43" s="936"/>
      <c r="U43" s="936"/>
      <c r="V43" s="936"/>
      <c r="W43" s="936"/>
    </row>
    <row r="44" spans="1:23" ht="71.25" customHeight="1">
      <c r="A44" s="1">
        <v>2021</v>
      </c>
      <c r="B44" s="1">
        <f t="shared" si="0"/>
        <v>10</v>
      </c>
      <c r="C44" s="1227" t="s">
        <v>4054</v>
      </c>
      <c r="D44" s="1490" t="s">
        <v>4083</v>
      </c>
      <c r="E44" s="1492"/>
      <c r="F44" s="1231" t="s">
        <v>4073</v>
      </c>
      <c r="G44" s="1228" t="s">
        <v>2580</v>
      </c>
      <c r="H44" s="939" t="s">
        <v>4713</v>
      </c>
      <c r="I44" s="939">
        <v>20.288646</v>
      </c>
      <c r="J44" s="939">
        <v>103.41398</v>
      </c>
      <c r="K44" s="1488">
        <v>3523.2000000000007</v>
      </c>
      <c r="L44" s="1488">
        <v>769</v>
      </c>
      <c r="M44" s="1237">
        <v>1276719.52</v>
      </c>
      <c r="N44" s="1597" t="s">
        <v>4470</v>
      </c>
      <c r="O44" s="936"/>
      <c r="P44" s="936"/>
      <c r="Q44" s="936"/>
      <c r="R44" s="936"/>
      <c r="S44" s="936"/>
      <c r="T44" s="936"/>
      <c r="U44" s="936"/>
      <c r="V44" s="936"/>
      <c r="W44" s="936"/>
    </row>
    <row r="45" spans="1:23" ht="74.25" customHeight="1">
      <c r="A45" s="1">
        <v>2021</v>
      </c>
      <c r="B45" s="1">
        <f t="shared" si="0"/>
        <v>11</v>
      </c>
      <c r="C45" s="1227" t="s">
        <v>4055</v>
      </c>
      <c r="D45" s="1491" t="s">
        <v>4080</v>
      </c>
      <c r="E45" s="1492"/>
      <c r="F45" s="1231" t="s">
        <v>4074</v>
      </c>
      <c r="G45" s="1228" t="s">
        <v>2666</v>
      </c>
      <c r="H45" s="939" t="s">
        <v>4079</v>
      </c>
      <c r="I45" s="939">
        <f>'ADMININSTRACIÓN DIR - OBRA'!AL507</f>
        <v>20.290621999999999</v>
      </c>
      <c r="J45" s="939">
        <f>'ADMININSTRACIÓN DIR - OBRA'!AM507</f>
        <v>103.41037799999999</v>
      </c>
      <c r="K45" s="1489">
        <v>1782.99</v>
      </c>
      <c r="L45" s="1489">
        <v>440</v>
      </c>
      <c r="M45" s="1237">
        <v>643795.13</v>
      </c>
      <c r="N45" s="1597" t="s">
        <v>4471</v>
      </c>
      <c r="O45" s="936"/>
      <c r="P45" s="936"/>
      <c r="Q45" s="936"/>
      <c r="R45" s="936"/>
      <c r="S45" s="936"/>
      <c r="T45" s="936"/>
      <c r="U45" s="936"/>
      <c r="V45" s="936"/>
      <c r="W45" s="936"/>
    </row>
    <row r="46" spans="1:23" ht="64.5" customHeight="1">
      <c r="A46" s="1">
        <v>2021</v>
      </c>
      <c r="B46" s="1">
        <f t="shared" si="0"/>
        <v>12</v>
      </c>
      <c r="C46" s="1227" t="s">
        <v>4056</v>
      </c>
      <c r="D46" s="1491" t="s">
        <v>4062</v>
      </c>
      <c r="E46" s="1492"/>
      <c r="F46" s="1231" t="s">
        <v>4075</v>
      </c>
      <c r="G46" s="1228" t="s">
        <v>2518</v>
      </c>
      <c r="H46" s="939" t="s">
        <v>3149</v>
      </c>
      <c r="I46" s="939">
        <f>'ADMININSTRACIÓN DIR - OBRA'!AL508</f>
        <v>20.286681999999999</v>
      </c>
      <c r="J46" s="939">
        <f>'ADMININSTRACIÓN DIR - OBRA'!AM508</f>
        <v>103.423992</v>
      </c>
      <c r="K46" s="1">
        <v>1361.3</v>
      </c>
      <c r="L46" s="1">
        <v>400</v>
      </c>
      <c r="M46" s="1237">
        <v>512378.61</v>
      </c>
      <c r="N46" s="1597" t="s">
        <v>4472</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44">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89" t="s">
        <v>5517</v>
      </c>
      <c r="C1" s="2189"/>
      <c r="D1" s="2189"/>
      <c r="E1" s="2189"/>
      <c r="F1" s="2189"/>
      <c r="G1" s="2189"/>
      <c r="H1" s="2189"/>
      <c r="I1" s="2189"/>
      <c r="J1" s="2189"/>
      <c r="K1" s="2189"/>
      <c r="L1" s="2189"/>
      <c r="M1" s="2189"/>
      <c r="N1" s="2189"/>
      <c r="O1" s="2189"/>
      <c r="P1" s="2189"/>
      <c r="Q1" s="2189"/>
      <c r="R1" s="2189"/>
    </row>
    <row r="2" spans="1:18" ht="19.5" customHeight="1" thickBot="1">
      <c r="A2"/>
      <c r="B2" s="10"/>
      <c r="C2" s="10"/>
      <c r="D2" s="10"/>
      <c r="E2" s="1722"/>
      <c r="F2" s="9"/>
      <c r="G2" s="9"/>
      <c r="H2" s="928"/>
      <c r="I2" s="928"/>
      <c r="J2" s="928"/>
      <c r="K2" s="928"/>
      <c r="L2" s="929"/>
      <c r="M2" s="9"/>
      <c r="N2" s="9"/>
      <c r="O2" s="9"/>
      <c r="P2" s="9"/>
      <c r="Q2" s="9"/>
      <c r="R2" s="9"/>
    </row>
    <row r="3" spans="1:18" ht="74.25" customHeight="1" thickTop="1" thickBot="1">
      <c r="B3" s="1720" t="s">
        <v>19</v>
      </c>
      <c r="C3" s="1721" t="s">
        <v>5644</v>
      </c>
      <c r="D3" s="1721" t="s">
        <v>16</v>
      </c>
      <c r="E3" s="491" t="s">
        <v>20</v>
      </c>
      <c r="F3" s="41" t="s">
        <v>21</v>
      </c>
      <c r="G3" s="42" t="s">
        <v>22</v>
      </c>
      <c r="H3" s="43" t="s">
        <v>23</v>
      </c>
      <c r="I3" s="43"/>
      <c r="J3" s="43" t="s">
        <v>2478</v>
      </c>
      <c r="K3" s="43" t="s">
        <v>4384</v>
      </c>
      <c r="L3" s="43" t="s">
        <v>24</v>
      </c>
      <c r="M3" s="43" t="s">
        <v>25</v>
      </c>
      <c r="N3" s="43" t="s">
        <v>26</v>
      </c>
      <c r="O3" s="44" t="s">
        <v>27</v>
      </c>
      <c r="P3" s="365" t="s">
        <v>28</v>
      </c>
      <c r="Q3" s="365" t="s">
        <v>5440</v>
      </c>
      <c r="R3" s="48" t="s">
        <v>5434</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24">
        <v>2018</v>
      </c>
      <c r="C5" s="1726">
        <v>2018</v>
      </c>
      <c r="D5" s="1725"/>
      <c r="E5" s="170" t="s">
        <v>866</v>
      </c>
      <c r="F5" s="178" t="s">
        <v>6186</v>
      </c>
      <c r="G5" s="172"/>
      <c r="H5" s="173" t="s">
        <v>6187</v>
      </c>
      <c r="I5" s="173" t="s">
        <v>6253</v>
      </c>
      <c r="J5" s="173" t="s">
        <v>6188</v>
      </c>
      <c r="K5" s="173" t="s">
        <v>1975</v>
      </c>
      <c r="L5" s="174">
        <v>2940000</v>
      </c>
      <c r="M5" s="175">
        <v>43172</v>
      </c>
      <c r="N5" s="176">
        <v>43172</v>
      </c>
      <c r="O5" s="177">
        <v>43373</v>
      </c>
      <c r="P5" s="1723" t="s">
        <v>3556</v>
      </c>
      <c r="Q5" s="253"/>
      <c r="R5" s="105" t="s">
        <v>1405</v>
      </c>
    </row>
    <row r="6" spans="1:18" ht="68.25" hidden="1" customHeight="1">
      <c r="B6" s="1724">
        <v>2019</v>
      </c>
      <c r="C6" s="1726">
        <v>2019</v>
      </c>
      <c r="D6" s="1725"/>
      <c r="E6" s="170"/>
      <c r="F6" s="178" t="s">
        <v>6189</v>
      </c>
      <c r="G6" s="172" t="s">
        <v>78</v>
      </c>
      <c r="H6" s="173" t="s">
        <v>6190</v>
      </c>
      <c r="I6" s="173" t="s">
        <v>4762</v>
      </c>
      <c r="J6" s="173" t="s">
        <v>6191</v>
      </c>
      <c r="K6" s="173" t="s">
        <v>4826</v>
      </c>
      <c r="L6" s="174">
        <v>1938150.24</v>
      </c>
      <c r="M6" s="175">
        <v>43767</v>
      </c>
      <c r="N6" s="176">
        <v>43767</v>
      </c>
      <c r="O6" s="177">
        <v>43814</v>
      </c>
      <c r="P6" s="1723" t="s">
        <v>6192</v>
      </c>
      <c r="Q6" s="253"/>
      <c r="R6" s="105" t="s">
        <v>1405</v>
      </c>
    </row>
    <row r="7" spans="1:18" ht="68.25" hidden="1" customHeight="1">
      <c r="B7" s="1724">
        <v>2019</v>
      </c>
      <c r="C7" s="1726">
        <v>2019</v>
      </c>
      <c r="D7" s="1725"/>
      <c r="E7" s="170"/>
      <c r="F7" s="178" t="s">
        <v>6193</v>
      </c>
      <c r="G7" s="172" t="s">
        <v>78</v>
      </c>
      <c r="H7" s="173" t="s">
        <v>6194</v>
      </c>
      <c r="I7" s="173" t="s">
        <v>2540</v>
      </c>
      <c r="J7" s="173" t="s">
        <v>2540</v>
      </c>
      <c r="K7" s="173" t="s">
        <v>4412</v>
      </c>
      <c r="L7" s="174">
        <v>1732888.4</v>
      </c>
      <c r="M7" s="175">
        <v>43699</v>
      </c>
      <c r="N7" s="176">
        <v>43699</v>
      </c>
      <c r="O7" s="177">
        <v>43728</v>
      </c>
      <c r="P7" s="1723" t="s">
        <v>6195</v>
      </c>
      <c r="Q7" s="253"/>
      <c r="R7" s="105" t="s">
        <v>1405</v>
      </c>
    </row>
    <row r="8" spans="1:18" ht="68.25" hidden="1" customHeight="1">
      <c r="B8" s="1724">
        <v>2019</v>
      </c>
      <c r="C8" s="1726">
        <v>2019</v>
      </c>
      <c r="D8" s="1725"/>
      <c r="E8" s="170"/>
      <c r="F8" s="178" t="s">
        <v>6196</v>
      </c>
      <c r="G8" s="172" t="s">
        <v>78</v>
      </c>
      <c r="H8" s="173" t="s">
        <v>6197</v>
      </c>
      <c r="I8" s="173" t="s">
        <v>6266</v>
      </c>
      <c r="J8" s="173" t="s">
        <v>6198</v>
      </c>
      <c r="K8" s="173" t="s">
        <v>3626</v>
      </c>
      <c r="L8" s="174">
        <v>1946367.87</v>
      </c>
      <c r="M8" s="175">
        <v>43728</v>
      </c>
      <c r="N8" s="176">
        <v>43728</v>
      </c>
      <c r="O8" s="177">
        <v>43812</v>
      </c>
      <c r="P8" s="1723" t="s">
        <v>6199</v>
      </c>
      <c r="Q8" s="253"/>
      <c r="R8" s="105" t="s">
        <v>1405</v>
      </c>
    </row>
    <row r="9" spans="1:18" ht="68.25" hidden="1" customHeight="1">
      <c r="B9" s="1724">
        <v>2019</v>
      </c>
      <c r="C9" s="1726">
        <v>2019</v>
      </c>
      <c r="D9" s="1725"/>
      <c r="E9" s="170" t="s">
        <v>63</v>
      </c>
      <c r="F9" s="178" t="s">
        <v>6201</v>
      </c>
      <c r="G9" s="172" t="s">
        <v>5438</v>
      </c>
      <c r="H9" s="173" t="s">
        <v>6200</v>
      </c>
      <c r="I9" s="173" t="s">
        <v>6266</v>
      </c>
      <c r="J9" s="173" t="s">
        <v>6202</v>
      </c>
      <c r="K9" s="173" t="s">
        <v>1975</v>
      </c>
      <c r="L9" s="174">
        <v>2493662.81</v>
      </c>
      <c r="M9" s="175">
        <v>43819</v>
      </c>
      <c r="N9" s="176">
        <v>43819</v>
      </c>
      <c r="O9" s="177">
        <v>43828</v>
      </c>
      <c r="P9" s="1723" t="s">
        <v>6199</v>
      </c>
      <c r="Q9" s="253"/>
      <c r="R9" s="105" t="s">
        <v>1405</v>
      </c>
    </row>
    <row r="10" spans="1:18" ht="68.25" hidden="1" customHeight="1">
      <c r="B10" s="1724">
        <v>2019</v>
      </c>
      <c r="C10" s="1726">
        <v>2019</v>
      </c>
      <c r="D10" s="1725"/>
      <c r="E10" s="170"/>
      <c r="F10" s="178" t="s">
        <v>6203</v>
      </c>
      <c r="G10" s="172" t="s">
        <v>78</v>
      </c>
      <c r="H10" s="173" t="s">
        <v>6204</v>
      </c>
      <c r="I10" s="173" t="s">
        <v>4762</v>
      </c>
      <c r="J10" s="173" t="s">
        <v>6217</v>
      </c>
      <c r="K10" s="173" t="s">
        <v>2580</v>
      </c>
      <c r="L10" s="174">
        <v>1937200.15</v>
      </c>
      <c r="M10" s="175">
        <v>43762</v>
      </c>
      <c r="N10" s="176">
        <v>43762</v>
      </c>
      <c r="O10" s="177">
        <v>43814</v>
      </c>
      <c r="P10" s="1723" t="s">
        <v>6206</v>
      </c>
      <c r="Q10" s="253"/>
      <c r="R10" s="105" t="s">
        <v>1405</v>
      </c>
    </row>
    <row r="11" spans="1:18" ht="68.25" hidden="1" customHeight="1">
      <c r="B11" s="1724">
        <v>2020</v>
      </c>
      <c r="C11" s="1726">
        <v>2021</v>
      </c>
      <c r="D11" s="1725"/>
      <c r="E11" s="170" t="s">
        <v>866</v>
      </c>
      <c r="F11" s="178" t="s">
        <v>6207</v>
      </c>
      <c r="G11" s="172" t="s">
        <v>5438</v>
      </c>
      <c r="H11" s="173" t="s">
        <v>6208</v>
      </c>
      <c r="I11" s="173" t="s">
        <v>6267</v>
      </c>
      <c r="J11" s="173" t="s">
        <v>4749</v>
      </c>
      <c r="K11" s="173" t="s">
        <v>2541</v>
      </c>
      <c r="L11" s="174">
        <v>10000000</v>
      </c>
      <c r="M11" s="175">
        <v>44054</v>
      </c>
      <c r="N11" s="176">
        <v>44784</v>
      </c>
      <c r="O11" s="177">
        <v>44286</v>
      </c>
      <c r="P11" s="1723" t="s">
        <v>6209</v>
      </c>
      <c r="Q11" s="253"/>
      <c r="R11" s="105" t="s">
        <v>1405</v>
      </c>
    </row>
    <row r="12" spans="1:18" ht="68.25" hidden="1" customHeight="1">
      <c r="B12" s="1724">
        <v>2020</v>
      </c>
      <c r="C12" s="1726">
        <v>2021</v>
      </c>
      <c r="D12" s="1725"/>
      <c r="E12" s="170" t="s">
        <v>866</v>
      </c>
      <c r="F12" s="178" t="s">
        <v>6210</v>
      </c>
      <c r="G12" s="172" t="s">
        <v>5438</v>
      </c>
      <c r="H12" s="173" t="s">
        <v>6211</v>
      </c>
      <c r="I12" s="173" t="s">
        <v>6242</v>
      </c>
      <c r="J12" s="173" t="s">
        <v>5321</v>
      </c>
      <c r="K12" s="173" t="s">
        <v>1975</v>
      </c>
      <c r="L12" s="174">
        <v>10000000</v>
      </c>
      <c r="M12" s="175">
        <v>44054</v>
      </c>
      <c r="N12" s="176">
        <v>44054</v>
      </c>
      <c r="O12" s="177">
        <v>44285</v>
      </c>
      <c r="P12" s="1723" t="s">
        <v>6209</v>
      </c>
      <c r="Q12" s="253"/>
      <c r="R12" s="105" t="s">
        <v>1405</v>
      </c>
    </row>
    <row r="13" spans="1:18" ht="68.25" hidden="1" customHeight="1">
      <c r="B13" s="1724">
        <v>2020</v>
      </c>
      <c r="C13" s="1726">
        <v>2020</v>
      </c>
      <c r="D13" s="1725"/>
      <c r="E13" s="170"/>
      <c r="F13" s="178" t="s">
        <v>6212</v>
      </c>
      <c r="G13" s="172" t="s">
        <v>5438</v>
      </c>
      <c r="H13" s="173" t="s">
        <v>6213</v>
      </c>
      <c r="I13" s="173" t="s">
        <v>4762</v>
      </c>
      <c r="J13" s="173" t="s">
        <v>6191</v>
      </c>
      <c r="K13" s="173" t="s">
        <v>4826</v>
      </c>
      <c r="L13" s="174">
        <v>2108955.1</v>
      </c>
      <c r="M13" s="175">
        <v>44112</v>
      </c>
      <c r="N13" s="176">
        <v>44112</v>
      </c>
      <c r="O13" s="177">
        <v>44171</v>
      </c>
      <c r="P13" s="1723" t="s">
        <v>6214</v>
      </c>
      <c r="Q13" s="253"/>
      <c r="R13" s="105" t="s">
        <v>1405</v>
      </c>
    </row>
    <row r="14" spans="1:18" ht="68.25" hidden="1" customHeight="1">
      <c r="B14" s="1724">
        <v>2020</v>
      </c>
      <c r="C14" s="1726">
        <v>2020</v>
      </c>
      <c r="D14" s="1725"/>
      <c r="E14" s="170"/>
      <c r="F14" s="178" t="s">
        <v>6215</v>
      </c>
      <c r="G14" s="172" t="s">
        <v>5438</v>
      </c>
      <c r="H14" s="173" t="s">
        <v>6216</v>
      </c>
      <c r="I14" s="173" t="s">
        <v>4762</v>
      </c>
      <c r="J14" s="173" t="s">
        <v>6205</v>
      </c>
      <c r="K14" s="173" t="s">
        <v>2580</v>
      </c>
      <c r="L14" s="174">
        <v>4391953.5</v>
      </c>
      <c r="M14" s="175">
        <v>44112</v>
      </c>
      <c r="N14" s="176">
        <v>44112</v>
      </c>
      <c r="O14" s="177">
        <v>44156</v>
      </c>
      <c r="P14" s="1723" t="s">
        <v>6218</v>
      </c>
      <c r="Q14" s="253"/>
      <c r="R14" s="105" t="s">
        <v>1405</v>
      </c>
    </row>
    <row r="15" spans="1:18" ht="68.25" hidden="1" customHeight="1">
      <c r="B15" s="1724">
        <v>2020</v>
      </c>
      <c r="C15" s="1726">
        <v>2020</v>
      </c>
      <c r="D15" s="1725"/>
      <c r="E15" s="170"/>
      <c r="F15" s="178" t="s">
        <v>6219</v>
      </c>
      <c r="G15" s="172" t="s">
        <v>5438</v>
      </c>
      <c r="H15" s="173" t="s">
        <v>6220</v>
      </c>
      <c r="I15" s="173" t="s">
        <v>4759</v>
      </c>
      <c r="J15" s="173" t="s">
        <v>6221</v>
      </c>
      <c r="K15" s="173" t="s">
        <v>4412</v>
      </c>
      <c r="L15" s="174">
        <v>5000000</v>
      </c>
      <c r="M15" s="175">
        <v>44869</v>
      </c>
      <c r="N15" s="176">
        <v>44869</v>
      </c>
      <c r="O15" s="177">
        <v>44196</v>
      </c>
      <c r="P15" s="1723" t="s">
        <v>6222</v>
      </c>
      <c r="Q15" s="253"/>
      <c r="R15" s="105" t="s">
        <v>1405</v>
      </c>
    </row>
    <row r="16" spans="1:18" ht="68.25" hidden="1" customHeight="1">
      <c r="B16" s="1724">
        <v>2021</v>
      </c>
      <c r="C16" s="1726">
        <v>2021</v>
      </c>
      <c r="D16" s="1725"/>
      <c r="E16" s="170" t="s">
        <v>63</v>
      </c>
      <c r="F16" s="178" t="s">
        <v>6223</v>
      </c>
      <c r="G16" s="172" t="s">
        <v>5428</v>
      </c>
      <c r="H16" s="173" t="s">
        <v>6224</v>
      </c>
      <c r="I16" s="173" t="s">
        <v>2540</v>
      </c>
      <c r="J16" s="173" t="s">
        <v>2540</v>
      </c>
      <c r="K16" s="173" t="s">
        <v>4826</v>
      </c>
      <c r="L16" s="174">
        <v>2565012.7999999998</v>
      </c>
      <c r="M16" s="175">
        <v>44217</v>
      </c>
      <c r="N16" s="176">
        <v>44217</v>
      </c>
      <c r="O16" s="177">
        <v>44336</v>
      </c>
      <c r="P16" s="1723" t="s">
        <v>6225</v>
      </c>
      <c r="Q16" s="253"/>
      <c r="R16" s="105" t="s">
        <v>1405</v>
      </c>
    </row>
    <row r="17" spans="2:18" ht="68.25" hidden="1" customHeight="1">
      <c r="B17" s="1724">
        <v>2021</v>
      </c>
      <c r="C17" s="1726">
        <v>2021</v>
      </c>
      <c r="D17" s="1725"/>
      <c r="E17" s="170" t="s">
        <v>63</v>
      </c>
      <c r="F17" s="178" t="s">
        <v>6226</v>
      </c>
      <c r="G17" s="172" t="s">
        <v>5428</v>
      </c>
      <c r="H17" s="173" t="s">
        <v>6227</v>
      </c>
      <c r="I17" s="173" t="s">
        <v>2540</v>
      </c>
      <c r="J17" s="173" t="s">
        <v>2540</v>
      </c>
      <c r="K17" s="173" t="s">
        <v>4826</v>
      </c>
      <c r="L17" s="174">
        <v>3136819.35</v>
      </c>
      <c r="M17" s="175">
        <v>44226</v>
      </c>
      <c r="N17" s="176">
        <v>44226</v>
      </c>
      <c r="O17" s="177">
        <v>44345</v>
      </c>
      <c r="P17" s="1723" t="s">
        <v>6228</v>
      </c>
      <c r="Q17" s="253"/>
      <c r="R17" s="105" t="s">
        <v>1405</v>
      </c>
    </row>
    <row r="18" spans="2:18" ht="68.25" hidden="1" customHeight="1">
      <c r="B18" s="1724">
        <v>2021</v>
      </c>
      <c r="C18" s="1726">
        <v>2021</v>
      </c>
      <c r="D18" s="1725"/>
      <c r="E18" s="170" t="s">
        <v>63</v>
      </c>
      <c r="F18" s="178" t="s">
        <v>6229</v>
      </c>
      <c r="G18" s="172" t="s">
        <v>5438</v>
      </c>
      <c r="H18" s="173" t="s">
        <v>6230</v>
      </c>
      <c r="I18" s="173" t="s">
        <v>2540</v>
      </c>
      <c r="J18" s="173" t="s">
        <v>2540</v>
      </c>
      <c r="K18" s="173" t="s">
        <v>4826</v>
      </c>
      <c r="L18" s="174">
        <v>4691797.99</v>
      </c>
      <c r="M18" s="175">
        <v>44252</v>
      </c>
      <c r="N18" s="176">
        <v>44252</v>
      </c>
      <c r="O18" s="177">
        <v>44341</v>
      </c>
      <c r="P18" s="1723" t="s">
        <v>4447</v>
      </c>
      <c r="Q18" s="253"/>
      <c r="R18" s="105" t="s">
        <v>1405</v>
      </c>
    </row>
    <row r="19" spans="2:18" ht="68.25" hidden="1" customHeight="1">
      <c r="B19" s="1724">
        <v>2021</v>
      </c>
      <c r="C19" s="1726">
        <v>2021</v>
      </c>
      <c r="D19" s="1725"/>
      <c r="E19" s="170" t="s">
        <v>866</v>
      </c>
      <c r="F19" s="178" t="s">
        <v>6231</v>
      </c>
      <c r="G19" s="172" t="s">
        <v>5438</v>
      </c>
      <c r="H19" s="173" t="s">
        <v>6232</v>
      </c>
      <c r="I19" s="173" t="s">
        <v>4759</v>
      </c>
      <c r="J19" s="173" t="s">
        <v>2559</v>
      </c>
      <c r="K19" s="173" t="s">
        <v>1975</v>
      </c>
      <c r="L19" s="174">
        <v>5000000</v>
      </c>
      <c r="M19" s="175">
        <v>44251</v>
      </c>
      <c r="N19" s="176">
        <v>44251</v>
      </c>
      <c r="O19" s="177">
        <v>44439</v>
      </c>
      <c r="P19" s="1723" t="s">
        <v>6209</v>
      </c>
      <c r="Q19" s="253"/>
      <c r="R19" s="105" t="s">
        <v>1405</v>
      </c>
    </row>
    <row r="20" spans="2:18" ht="68.25" hidden="1" customHeight="1">
      <c r="B20" s="1724">
        <v>2021</v>
      </c>
      <c r="C20" s="1726">
        <v>2021</v>
      </c>
      <c r="D20" s="1725"/>
      <c r="E20" s="170" t="s">
        <v>866</v>
      </c>
      <c r="F20" s="178" t="s">
        <v>6233</v>
      </c>
      <c r="G20" s="172" t="s">
        <v>5438</v>
      </c>
      <c r="H20" s="173" t="s">
        <v>6234</v>
      </c>
      <c r="I20" s="173" t="s">
        <v>6268</v>
      </c>
      <c r="J20" s="173" t="s">
        <v>3422</v>
      </c>
      <c r="K20" s="173" t="s">
        <v>3626</v>
      </c>
      <c r="L20" s="174">
        <v>4000000</v>
      </c>
      <c r="M20" s="175">
        <v>44251</v>
      </c>
      <c r="N20" s="176">
        <v>44251</v>
      </c>
      <c r="O20" s="177">
        <v>44439</v>
      </c>
      <c r="P20" s="1723" t="s">
        <v>6209</v>
      </c>
      <c r="Q20" s="253"/>
      <c r="R20" s="105" t="s">
        <v>1405</v>
      </c>
    </row>
    <row r="21" spans="2:18" ht="68.25" hidden="1" customHeight="1">
      <c r="B21" s="1724">
        <v>2022</v>
      </c>
      <c r="C21" s="1726">
        <v>2022</v>
      </c>
      <c r="D21" s="1725">
        <v>45170</v>
      </c>
      <c r="E21" s="170"/>
      <c r="F21" s="178" t="s">
        <v>4441</v>
      </c>
      <c r="G21" s="172" t="s">
        <v>5428</v>
      </c>
      <c r="H21" s="173" t="s">
        <v>5423</v>
      </c>
      <c r="I21" s="173" t="s">
        <v>5419</v>
      </c>
      <c r="J21" s="173" t="s">
        <v>2499</v>
      </c>
      <c r="K21" s="173" t="s">
        <v>1975</v>
      </c>
      <c r="L21" s="174">
        <v>11570083.17</v>
      </c>
      <c r="M21" s="175"/>
      <c r="N21" s="176">
        <v>44652</v>
      </c>
      <c r="O21" s="177">
        <v>44756</v>
      </c>
      <c r="P21" s="1723" t="s">
        <v>5466</v>
      </c>
      <c r="Q21" s="253"/>
      <c r="R21" s="105" t="s">
        <v>1405</v>
      </c>
    </row>
    <row r="22" spans="2:18" ht="75" hidden="1" customHeight="1">
      <c r="B22" s="1724">
        <v>2022</v>
      </c>
      <c r="C22" s="1726">
        <v>2022</v>
      </c>
      <c r="D22" s="1725">
        <v>45170</v>
      </c>
      <c r="E22" s="170"/>
      <c r="F22" s="178" t="s">
        <v>4442</v>
      </c>
      <c r="G22" s="172" t="s">
        <v>5428</v>
      </c>
      <c r="H22" s="173" t="s">
        <v>5424</v>
      </c>
      <c r="I22" s="173" t="s">
        <v>5419</v>
      </c>
      <c r="J22" s="173" t="s">
        <v>2499</v>
      </c>
      <c r="K22" s="173" t="s">
        <v>1975</v>
      </c>
      <c r="L22" s="174">
        <v>10558908.779999999</v>
      </c>
      <c r="M22" s="175"/>
      <c r="N22" s="176">
        <v>44652</v>
      </c>
      <c r="O22" s="177">
        <v>44756</v>
      </c>
      <c r="P22" s="1723" t="s">
        <v>5467</v>
      </c>
      <c r="Q22" s="253"/>
      <c r="R22" s="105" t="s">
        <v>1405</v>
      </c>
    </row>
    <row r="23" spans="2:18" ht="75" hidden="1" customHeight="1">
      <c r="B23" s="1724">
        <v>2022</v>
      </c>
      <c r="C23" s="1726">
        <v>2022</v>
      </c>
      <c r="D23" s="1725">
        <v>45170</v>
      </c>
      <c r="E23" s="170"/>
      <c r="F23" s="178" t="s">
        <v>5463</v>
      </c>
      <c r="G23" s="172" t="s">
        <v>78</v>
      </c>
      <c r="H23" s="173" t="s">
        <v>5464</v>
      </c>
      <c r="I23" s="173" t="s">
        <v>5419</v>
      </c>
      <c r="J23" s="173" t="s">
        <v>2499</v>
      </c>
      <c r="K23" s="173" t="s">
        <v>1975</v>
      </c>
      <c r="L23" s="174">
        <v>1968754.16</v>
      </c>
      <c r="M23" s="175"/>
      <c r="N23" s="176">
        <v>44642</v>
      </c>
      <c r="O23" s="177">
        <v>44701</v>
      </c>
      <c r="P23" s="253" t="s">
        <v>5465</v>
      </c>
      <c r="Q23" s="253"/>
      <c r="R23" s="105" t="s">
        <v>1405</v>
      </c>
    </row>
    <row r="24" spans="2:18" ht="75" hidden="1" customHeight="1">
      <c r="B24" s="1724">
        <v>2022</v>
      </c>
      <c r="C24" s="1726">
        <v>2022</v>
      </c>
      <c r="D24" s="1725">
        <v>45170</v>
      </c>
      <c r="E24" s="170"/>
      <c r="F24" s="178" t="s">
        <v>5475</v>
      </c>
      <c r="G24" s="172" t="s">
        <v>5438</v>
      </c>
      <c r="H24" s="173" t="s">
        <v>5474</v>
      </c>
      <c r="I24" s="173" t="s">
        <v>5419</v>
      </c>
      <c r="J24" s="173" t="s">
        <v>2499</v>
      </c>
      <c r="K24" s="173" t="s">
        <v>1975</v>
      </c>
      <c r="L24" s="174">
        <v>5187836.45</v>
      </c>
      <c r="M24" s="175"/>
      <c r="N24" s="176">
        <v>44841</v>
      </c>
      <c r="O24" s="177">
        <v>44910</v>
      </c>
      <c r="P24" s="253" t="s">
        <v>5465</v>
      </c>
      <c r="Q24" s="253"/>
      <c r="R24" s="105" t="s">
        <v>1405</v>
      </c>
    </row>
    <row r="25" spans="2:18" ht="78.75" hidden="1" customHeight="1">
      <c r="B25" s="1724">
        <v>2022</v>
      </c>
      <c r="C25" s="1726">
        <v>2022</v>
      </c>
      <c r="D25" s="1725">
        <v>45170</v>
      </c>
      <c r="E25" s="170"/>
      <c r="F25" s="178" t="s">
        <v>5471</v>
      </c>
      <c r="G25" s="172" t="s">
        <v>5438</v>
      </c>
      <c r="H25" s="173" t="s">
        <v>5472</v>
      </c>
      <c r="I25" s="173" t="s">
        <v>6269</v>
      </c>
      <c r="J25" s="173" t="s">
        <v>5333</v>
      </c>
      <c r="K25" s="173" t="s">
        <v>2578</v>
      </c>
      <c r="L25" s="174">
        <v>10974507.92</v>
      </c>
      <c r="M25" s="175"/>
      <c r="N25" s="176">
        <v>44691</v>
      </c>
      <c r="O25" s="177">
        <v>44780</v>
      </c>
      <c r="P25" s="1213" t="s">
        <v>5473</v>
      </c>
      <c r="Q25" s="253"/>
      <c r="R25" s="105" t="s">
        <v>1405</v>
      </c>
    </row>
    <row r="26" spans="2:18" ht="78.75" hidden="1" customHeight="1">
      <c r="B26" s="1724">
        <v>2020</v>
      </c>
      <c r="C26" s="1726">
        <v>2022</v>
      </c>
      <c r="D26" s="1725">
        <v>45170</v>
      </c>
      <c r="E26" s="170"/>
      <c r="F26" s="178" t="s">
        <v>5498</v>
      </c>
      <c r="G26" s="172" t="s">
        <v>5428</v>
      </c>
      <c r="H26" s="173" t="s">
        <v>5499</v>
      </c>
      <c r="I26" s="173" t="s">
        <v>6269</v>
      </c>
      <c r="J26" s="173" t="s">
        <v>5333</v>
      </c>
      <c r="K26" s="173" t="s">
        <v>2578</v>
      </c>
      <c r="L26" s="174">
        <v>16316936.48</v>
      </c>
      <c r="M26" s="175"/>
      <c r="N26" s="176">
        <v>44226</v>
      </c>
      <c r="O26" s="177">
        <v>44345</v>
      </c>
      <c r="P26" s="1213" t="s">
        <v>5500</v>
      </c>
      <c r="Q26" s="253"/>
      <c r="R26" s="105" t="s">
        <v>1405</v>
      </c>
    </row>
    <row r="27" spans="2:18" ht="78.75" hidden="1" customHeight="1">
      <c r="B27" s="1724">
        <v>2021</v>
      </c>
      <c r="C27" s="1726">
        <v>2022</v>
      </c>
      <c r="D27" s="1725">
        <v>45170</v>
      </c>
      <c r="E27" s="170"/>
      <c r="F27" s="178" t="s">
        <v>5501</v>
      </c>
      <c r="G27" s="172" t="s">
        <v>5438</v>
      </c>
      <c r="H27" s="173" t="s">
        <v>5502</v>
      </c>
      <c r="I27" s="173" t="s">
        <v>6269</v>
      </c>
      <c r="J27" s="173" t="s">
        <v>5333</v>
      </c>
      <c r="K27" s="173" t="s">
        <v>2578</v>
      </c>
      <c r="L27" s="174">
        <v>5433339.2699999996</v>
      </c>
      <c r="M27" s="175"/>
      <c r="N27" s="176">
        <v>44490</v>
      </c>
      <c r="O27" s="177">
        <v>44549</v>
      </c>
      <c r="P27" s="1213" t="s">
        <v>5503</v>
      </c>
      <c r="Q27" s="253"/>
      <c r="R27" s="105" t="s">
        <v>1405</v>
      </c>
    </row>
    <row r="28" spans="2:18" ht="78.75" hidden="1" customHeight="1">
      <c r="B28" s="1724">
        <v>2021</v>
      </c>
      <c r="C28" s="1726">
        <v>2022</v>
      </c>
      <c r="D28" s="1725">
        <v>45170</v>
      </c>
      <c r="E28" s="170"/>
      <c r="F28" s="178" t="s">
        <v>5495</v>
      </c>
      <c r="G28" s="172" t="s">
        <v>5438</v>
      </c>
      <c r="H28" s="173" t="s">
        <v>5496</v>
      </c>
      <c r="I28" s="173" t="s">
        <v>6269</v>
      </c>
      <c r="J28" s="173" t="s">
        <v>5333</v>
      </c>
      <c r="K28" s="173" t="s">
        <v>2578</v>
      </c>
      <c r="L28" s="174">
        <v>9297941.1699999999</v>
      </c>
      <c r="M28" s="175"/>
      <c r="N28" s="176">
        <v>44488</v>
      </c>
      <c r="O28" s="177">
        <v>44547</v>
      </c>
      <c r="P28" s="1213" t="s">
        <v>5497</v>
      </c>
      <c r="Q28" s="253"/>
      <c r="R28" s="105" t="s">
        <v>1405</v>
      </c>
    </row>
    <row r="29" spans="2:18" ht="78.75" hidden="1" customHeight="1">
      <c r="B29" s="1724">
        <v>2021</v>
      </c>
      <c r="C29" s="1726">
        <v>2022</v>
      </c>
      <c r="D29" s="1725">
        <v>45170</v>
      </c>
      <c r="E29" s="170"/>
      <c r="F29" s="178" t="s">
        <v>5513</v>
      </c>
      <c r="G29" s="172" t="s">
        <v>5428</v>
      </c>
      <c r="H29" s="3" t="s">
        <v>5514</v>
      </c>
      <c r="I29" s="3" t="s">
        <v>6269</v>
      </c>
      <c r="J29" s="3" t="s">
        <v>5333</v>
      </c>
      <c r="K29" s="173" t="s">
        <v>2578</v>
      </c>
      <c r="L29" s="174">
        <v>11060111.4</v>
      </c>
      <c r="M29" s="175"/>
      <c r="N29" s="176">
        <v>44302</v>
      </c>
      <c r="O29" s="177">
        <v>44421</v>
      </c>
      <c r="P29" s="1213" t="s">
        <v>5515</v>
      </c>
      <c r="Q29" s="253"/>
      <c r="R29" s="105" t="s">
        <v>1405</v>
      </c>
    </row>
    <row r="30" spans="2:18" ht="78.75" hidden="1" customHeight="1">
      <c r="B30" s="1724">
        <v>2021</v>
      </c>
      <c r="C30" s="1726">
        <v>2022</v>
      </c>
      <c r="D30" s="1725">
        <v>45170</v>
      </c>
      <c r="E30" s="170"/>
      <c r="F30" s="178" t="s">
        <v>5510</v>
      </c>
      <c r="G30" s="172" t="s">
        <v>5428</v>
      </c>
      <c r="H30" s="173" t="s">
        <v>5511</v>
      </c>
      <c r="I30" s="173" t="s">
        <v>6269</v>
      </c>
      <c r="J30" s="173" t="s">
        <v>5333</v>
      </c>
      <c r="K30" s="173" t="s">
        <v>2578</v>
      </c>
      <c r="L30" s="174">
        <v>10663760.539999999</v>
      </c>
      <c r="M30" s="175"/>
      <c r="N30" s="176">
        <v>44302</v>
      </c>
      <c r="O30" s="177">
        <v>44421</v>
      </c>
      <c r="P30" s="1213" t="s">
        <v>5512</v>
      </c>
      <c r="Q30" s="253"/>
      <c r="R30" s="105" t="s">
        <v>1405</v>
      </c>
    </row>
    <row r="31" spans="2:18" ht="78.75" hidden="1" customHeight="1">
      <c r="B31" s="1724">
        <v>2021</v>
      </c>
      <c r="C31" s="1726">
        <v>2022</v>
      </c>
      <c r="D31" s="1725">
        <v>45170</v>
      </c>
      <c r="E31" s="170"/>
      <c r="F31" s="178" t="s">
        <v>5507</v>
      </c>
      <c r="G31" s="172" t="s">
        <v>5428</v>
      </c>
      <c r="H31" s="173" t="s">
        <v>5508</v>
      </c>
      <c r="I31" s="173" t="s">
        <v>6269</v>
      </c>
      <c r="J31" s="173" t="s">
        <v>5333</v>
      </c>
      <c r="K31" s="173" t="s">
        <v>2578</v>
      </c>
      <c r="L31" s="174">
        <v>12021285.439999999</v>
      </c>
      <c r="M31" s="175"/>
      <c r="N31" s="176">
        <v>44302</v>
      </c>
      <c r="O31" s="177">
        <v>44421</v>
      </c>
      <c r="P31" s="1213" t="s">
        <v>5509</v>
      </c>
      <c r="Q31" s="253"/>
      <c r="R31" s="105" t="s">
        <v>1405</v>
      </c>
    </row>
    <row r="32" spans="2:18" ht="78.75" hidden="1" customHeight="1">
      <c r="B32" s="1724">
        <v>2021</v>
      </c>
      <c r="C32" s="1726">
        <v>2022</v>
      </c>
      <c r="D32" s="1725">
        <v>45170</v>
      </c>
      <c r="E32" s="170"/>
      <c r="F32" s="178" t="s">
        <v>5504</v>
      </c>
      <c r="G32" s="172" t="s">
        <v>5428</v>
      </c>
      <c r="H32" s="173" t="s">
        <v>5505</v>
      </c>
      <c r="I32" s="173" t="s">
        <v>6269</v>
      </c>
      <c r="J32" s="173" t="s">
        <v>5333</v>
      </c>
      <c r="K32" s="173" t="s">
        <v>2578</v>
      </c>
      <c r="L32" s="174">
        <v>11491864.08</v>
      </c>
      <c r="M32" s="175"/>
      <c r="N32" s="176">
        <v>44302</v>
      </c>
      <c r="O32" s="177">
        <v>44421</v>
      </c>
      <c r="P32" s="1213" t="s">
        <v>5506</v>
      </c>
      <c r="Q32" s="253"/>
      <c r="R32" s="105" t="s">
        <v>1405</v>
      </c>
    </row>
    <row r="33" spans="2:18" ht="103.5" hidden="1" customHeight="1">
      <c r="B33" s="1724">
        <v>2022</v>
      </c>
      <c r="C33" s="1726">
        <v>2022</v>
      </c>
      <c r="D33" s="1725">
        <v>45170</v>
      </c>
      <c r="E33" s="170"/>
      <c r="F33" s="178" t="s">
        <v>5468</v>
      </c>
      <c r="G33" s="172" t="s">
        <v>5438</v>
      </c>
      <c r="H33" s="173" t="s">
        <v>5469</v>
      </c>
      <c r="I33" s="173" t="s">
        <v>6269</v>
      </c>
      <c r="J33" s="173" t="s">
        <v>5333</v>
      </c>
      <c r="K33" s="173" t="s">
        <v>2578</v>
      </c>
      <c r="L33" s="174">
        <v>2975907.18</v>
      </c>
      <c r="M33" s="175"/>
      <c r="N33" s="176">
        <v>44915</v>
      </c>
      <c r="O33" s="177">
        <v>44926</v>
      </c>
      <c r="P33" s="116" t="s">
        <v>5470</v>
      </c>
      <c r="Q33" s="253"/>
      <c r="R33" s="105" t="s">
        <v>1405</v>
      </c>
    </row>
    <row r="34" spans="2:18" ht="67.5" hidden="1" customHeight="1">
      <c r="B34" s="1724">
        <v>2020</v>
      </c>
      <c r="C34" s="1726">
        <v>2022</v>
      </c>
      <c r="D34" s="1725">
        <v>44805</v>
      </c>
      <c r="E34" s="170"/>
      <c r="F34" s="178" t="s">
        <v>5476</v>
      </c>
      <c r="G34" s="172" t="s">
        <v>5428</v>
      </c>
      <c r="H34" s="173" t="s">
        <v>5477</v>
      </c>
      <c r="I34" s="173" t="s">
        <v>2540</v>
      </c>
      <c r="J34" s="173" t="s">
        <v>2540</v>
      </c>
      <c r="K34" s="173" t="s">
        <v>4389</v>
      </c>
      <c r="L34" s="174">
        <v>2565012.7999999998</v>
      </c>
      <c r="M34" s="175"/>
      <c r="N34" s="176">
        <v>44217</v>
      </c>
      <c r="O34" s="177">
        <v>44336</v>
      </c>
      <c r="P34" s="1723" t="s">
        <v>5478</v>
      </c>
      <c r="Q34" s="253"/>
      <c r="R34" s="105" t="s">
        <v>1405</v>
      </c>
    </row>
    <row r="35" spans="2:18" ht="67.5" hidden="1" customHeight="1">
      <c r="B35" s="1724">
        <v>2020</v>
      </c>
      <c r="C35" s="1726">
        <v>2022</v>
      </c>
      <c r="D35" s="1725">
        <v>44805</v>
      </c>
      <c r="E35" s="170"/>
      <c r="F35" s="178" t="s">
        <v>5479</v>
      </c>
      <c r="G35" s="172" t="s">
        <v>5428</v>
      </c>
      <c r="H35" s="173" t="s">
        <v>5480</v>
      </c>
      <c r="I35" s="173" t="s">
        <v>2540</v>
      </c>
      <c r="J35" s="173" t="s">
        <v>2540</v>
      </c>
      <c r="K35" s="173" t="s">
        <v>4389</v>
      </c>
      <c r="L35" s="174">
        <v>3136819.35</v>
      </c>
      <c r="M35" s="175"/>
      <c r="N35" s="176">
        <v>44216</v>
      </c>
      <c r="O35" s="177">
        <v>44345</v>
      </c>
      <c r="P35" s="1723" t="s">
        <v>5481</v>
      </c>
      <c r="Q35" s="253"/>
      <c r="R35" s="105" t="s">
        <v>1405</v>
      </c>
    </row>
    <row r="36" spans="2:18" ht="83.25" hidden="1" customHeight="1">
      <c r="B36" s="1724">
        <v>2022</v>
      </c>
      <c r="C36" s="1726"/>
      <c r="D36" s="1725">
        <v>45170</v>
      </c>
      <c r="E36" s="170"/>
      <c r="F36" s="178" t="s">
        <v>5452</v>
      </c>
      <c r="G36" s="172" t="s">
        <v>5438</v>
      </c>
      <c r="H36" s="173" t="s">
        <v>5453</v>
      </c>
      <c r="I36" s="173" t="s">
        <v>4762</v>
      </c>
      <c r="J36" s="173" t="s">
        <v>5442</v>
      </c>
      <c r="K36" s="173" t="s">
        <v>2580</v>
      </c>
      <c r="L36" s="174">
        <v>7894555.1299999999</v>
      </c>
      <c r="M36" s="175"/>
      <c r="N36" s="176">
        <v>44723</v>
      </c>
      <c r="O36" s="177">
        <v>44822</v>
      </c>
      <c r="P36" s="1723" t="s">
        <v>5454</v>
      </c>
      <c r="Q36" s="253"/>
      <c r="R36" s="105" t="s">
        <v>1404</v>
      </c>
    </row>
    <row r="37" spans="2:18" ht="99.75" hidden="1" customHeight="1">
      <c r="B37" s="1724">
        <v>2022</v>
      </c>
      <c r="C37" s="1726">
        <v>2023</v>
      </c>
      <c r="D37" s="1726"/>
      <c r="E37" s="170" t="s">
        <v>3111</v>
      </c>
      <c r="F37" s="178" t="s">
        <v>5446</v>
      </c>
      <c r="G37" s="172" t="s">
        <v>4035</v>
      </c>
      <c r="H37" s="173" t="s">
        <v>5445</v>
      </c>
      <c r="I37" s="173" t="s">
        <v>2563</v>
      </c>
      <c r="J37" s="173" t="s">
        <v>4727</v>
      </c>
      <c r="K37" s="173" t="s">
        <v>4389</v>
      </c>
      <c r="L37" s="174">
        <v>4000000</v>
      </c>
      <c r="M37" s="175"/>
      <c r="N37" s="176">
        <v>44784</v>
      </c>
      <c r="O37" s="177">
        <v>44926</v>
      </c>
      <c r="P37" s="1723"/>
      <c r="Q37" s="253"/>
      <c r="R37" s="105" t="s">
        <v>1405</v>
      </c>
    </row>
    <row r="38" spans="2:18" ht="103.5" hidden="1" customHeight="1">
      <c r="B38" s="1724">
        <v>2022</v>
      </c>
      <c r="C38" s="1726">
        <v>2023</v>
      </c>
      <c r="D38" s="1725">
        <v>45170</v>
      </c>
      <c r="E38" s="170" t="s">
        <v>3111</v>
      </c>
      <c r="F38" s="178" t="s">
        <v>5448</v>
      </c>
      <c r="G38" s="172" t="s">
        <v>4035</v>
      </c>
      <c r="H38" s="173" t="s">
        <v>5447</v>
      </c>
      <c r="I38" s="173" t="s">
        <v>4748</v>
      </c>
      <c r="J38" s="173" t="s">
        <v>2657</v>
      </c>
      <c r="K38" s="173" t="s">
        <v>1975</v>
      </c>
      <c r="L38" s="174">
        <v>4000000</v>
      </c>
      <c r="M38" s="175"/>
      <c r="N38" s="176">
        <v>44784</v>
      </c>
      <c r="O38" s="177">
        <v>44926</v>
      </c>
      <c r="P38" s="1723"/>
      <c r="Q38" s="253"/>
      <c r="R38" s="105" t="s">
        <v>1405</v>
      </c>
    </row>
    <row r="39" spans="2:18" ht="81" hidden="1" customHeight="1">
      <c r="B39" s="1724">
        <v>2022</v>
      </c>
      <c r="C39" s="1726"/>
      <c r="D39" s="1725">
        <v>45170</v>
      </c>
      <c r="E39" s="170"/>
      <c r="F39" s="178" t="s">
        <v>5449</v>
      </c>
      <c r="G39" s="172" t="s">
        <v>5438</v>
      </c>
      <c r="H39" s="173" t="s">
        <v>5450</v>
      </c>
      <c r="I39" s="173" t="s">
        <v>4762</v>
      </c>
      <c r="J39" s="173" t="s">
        <v>5442</v>
      </c>
      <c r="K39" s="173" t="s">
        <v>2580</v>
      </c>
      <c r="L39" s="174">
        <v>7083722.9199999999</v>
      </c>
      <c r="M39" s="175"/>
      <c r="N39" s="176">
        <v>44915</v>
      </c>
      <c r="O39" s="177">
        <v>44926</v>
      </c>
      <c r="P39" s="1723" t="s">
        <v>5451</v>
      </c>
      <c r="Q39" s="253"/>
      <c r="R39" s="105" t="s">
        <v>1404</v>
      </c>
    </row>
    <row r="40" spans="2:18" ht="67.5" hidden="1" customHeight="1">
      <c r="B40" s="1724">
        <v>2022</v>
      </c>
      <c r="C40" s="1726">
        <v>2022</v>
      </c>
      <c r="D40" s="1726"/>
      <c r="E40" s="170" t="s">
        <v>5518</v>
      </c>
      <c r="F40" s="178" t="s">
        <v>5455</v>
      </c>
      <c r="G40" s="172" t="s">
        <v>5438</v>
      </c>
      <c r="H40" s="173" t="s">
        <v>5456</v>
      </c>
      <c r="I40" s="173" t="s">
        <v>4762</v>
      </c>
      <c r="J40" s="1215" t="s">
        <v>5457</v>
      </c>
      <c r="K40" s="1215" t="s">
        <v>3626</v>
      </c>
      <c r="L40" s="174">
        <v>2970236.09</v>
      </c>
      <c r="M40" s="175"/>
      <c r="N40" s="176">
        <v>44833</v>
      </c>
      <c r="O40" s="177">
        <v>44922</v>
      </c>
      <c r="P40" s="1723" t="s">
        <v>5458</v>
      </c>
      <c r="Q40" s="253"/>
      <c r="R40" s="105" t="s">
        <v>1405</v>
      </c>
    </row>
    <row r="41" spans="2:18" ht="87.75" hidden="1" customHeight="1">
      <c r="B41" s="1724">
        <v>2022</v>
      </c>
      <c r="C41" s="1726">
        <v>2023</v>
      </c>
      <c r="D41" s="1726"/>
      <c r="E41" s="170" t="s">
        <v>5518</v>
      </c>
      <c r="F41" s="178" t="s">
        <v>5459</v>
      </c>
      <c r="G41" s="172" t="s">
        <v>5428</v>
      </c>
      <c r="H41" s="173" t="s">
        <v>5460</v>
      </c>
      <c r="I41" s="173" t="s">
        <v>4762</v>
      </c>
      <c r="J41" s="173" t="s">
        <v>5461</v>
      </c>
      <c r="K41" s="173" t="s">
        <v>4389</v>
      </c>
      <c r="L41" s="174">
        <v>2104000</v>
      </c>
      <c r="M41" s="175"/>
      <c r="N41" s="176">
        <v>44741</v>
      </c>
      <c r="O41" s="177">
        <v>44865</v>
      </c>
      <c r="P41" s="1723" t="s">
        <v>5462</v>
      </c>
      <c r="Q41" s="253"/>
      <c r="R41" s="105" t="s">
        <v>1405</v>
      </c>
    </row>
    <row r="42" spans="2:18" ht="81" customHeight="1">
      <c r="B42" s="1724">
        <v>2023</v>
      </c>
      <c r="C42" s="1726"/>
      <c r="D42" s="1725">
        <v>45170</v>
      </c>
      <c r="E42" s="170" t="s">
        <v>5518</v>
      </c>
      <c r="F42" s="178" t="s">
        <v>5427</v>
      </c>
      <c r="G42" s="172" t="s">
        <v>5428</v>
      </c>
      <c r="H42" s="173" t="s">
        <v>5425</v>
      </c>
      <c r="I42" s="173" t="s">
        <v>4762</v>
      </c>
      <c r="J42" s="173" t="s">
        <v>5426</v>
      </c>
      <c r="K42" s="173" t="s">
        <v>1975</v>
      </c>
      <c r="L42" s="174">
        <v>7100796.75</v>
      </c>
      <c r="M42" s="175"/>
      <c r="N42" s="176">
        <v>45014</v>
      </c>
      <c r="O42" s="177">
        <v>45133</v>
      </c>
      <c r="P42" s="1723" t="s">
        <v>5429</v>
      </c>
      <c r="Q42" s="1723"/>
      <c r="R42" s="105" t="s">
        <v>1404</v>
      </c>
    </row>
    <row r="43" spans="2:18" ht="81" customHeight="1">
      <c r="B43" s="1724">
        <v>2023</v>
      </c>
      <c r="C43" s="1726"/>
      <c r="D43" s="1725">
        <v>45170</v>
      </c>
      <c r="E43" s="170" t="s">
        <v>5518</v>
      </c>
      <c r="F43" s="178" t="s">
        <v>5430</v>
      </c>
      <c r="G43" s="172" t="s">
        <v>5428</v>
      </c>
      <c r="H43" s="173" t="s">
        <v>5425</v>
      </c>
      <c r="I43" s="173" t="s">
        <v>4762</v>
      </c>
      <c r="J43" s="173" t="s">
        <v>5426</v>
      </c>
      <c r="K43" s="173" t="s">
        <v>1975</v>
      </c>
      <c r="L43" s="174">
        <v>4766220.6100000003</v>
      </c>
      <c r="M43" s="175"/>
      <c r="N43" s="176">
        <v>45014</v>
      </c>
      <c r="O43" s="177">
        <v>45133</v>
      </c>
      <c r="P43" s="1723" t="s">
        <v>5431</v>
      </c>
      <c r="Q43" s="1723"/>
      <c r="R43" s="105" t="s">
        <v>1404</v>
      </c>
    </row>
    <row r="44" spans="2:18" ht="66" hidden="1" customHeight="1">
      <c r="B44" s="1724">
        <v>2023</v>
      </c>
      <c r="C44" s="1726"/>
      <c r="D44" s="1726"/>
      <c r="E44" s="170" t="s">
        <v>866</v>
      </c>
      <c r="F44" s="178" t="s">
        <v>5432</v>
      </c>
      <c r="G44" s="172"/>
      <c r="H44" s="1215" t="s">
        <v>5433</v>
      </c>
      <c r="I44" s="1215" t="s">
        <v>4755</v>
      </c>
      <c r="J44" s="173" t="s">
        <v>2639</v>
      </c>
      <c r="K44" s="173" t="s">
        <v>2527</v>
      </c>
      <c r="L44" s="174">
        <v>5000000</v>
      </c>
      <c r="M44" s="175"/>
      <c r="N44" s="176">
        <v>45085</v>
      </c>
      <c r="O44" s="177">
        <v>45291</v>
      </c>
      <c r="P44" s="1723"/>
      <c r="Q44" s="253"/>
      <c r="R44" s="105" t="s">
        <v>5435</v>
      </c>
    </row>
    <row r="45" spans="2:18" ht="63" hidden="1" customHeight="1">
      <c r="B45" s="1724">
        <v>2023</v>
      </c>
      <c r="C45" s="1726"/>
      <c r="D45" s="1726"/>
      <c r="E45" s="170"/>
      <c r="F45" s="178" t="s">
        <v>5437</v>
      </c>
      <c r="G45" s="172" t="s">
        <v>5438</v>
      </c>
      <c r="H45" s="173" t="s">
        <v>5436</v>
      </c>
      <c r="I45" s="173" t="s">
        <v>6268</v>
      </c>
      <c r="J45" s="173" t="s">
        <v>5439</v>
      </c>
      <c r="K45" s="173" t="s">
        <v>4413</v>
      </c>
      <c r="L45" s="174">
        <v>8964901.75</v>
      </c>
      <c r="M45" s="175"/>
      <c r="N45" s="176">
        <v>45010</v>
      </c>
      <c r="O45" s="177">
        <v>45099</v>
      </c>
      <c r="P45" s="1723"/>
      <c r="Q45" s="253"/>
      <c r="R45" s="105" t="s">
        <v>5435</v>
      </c>
    </row>
    <row r="46" spans="2:18" ht="78.75" hidden="1" customHeight="1">
      <c r="B46" s="1724">
        <v>2023</v>
      </c>
      <c r="C46" s="1726"/>
      <c r="D46" s="1725">
        <v>45170</v>
      </c>
      <c r="E46" s="170"/>
      <c r="F46" s="178" t="s">
        <v>5443</v>
      </c>
      <c r="G46" s="172" t="s">
        <v>5438</v>
      </c>
      <c r="H46" s="173" t="s">
        <v>5444</v>
      </c>
      <c r="I46" s="173" t="s">
        <v>6269</v>
      </c>
      <c r="J46" s="173" t="s">
        <v>5441</v>
      </c>
      <c r="K46" s="173" t="s">
        <v>2578</v>
      </c>
      <c r="L46" s="174">
        <v>7589100.9800000004</v>
      </c>
      <c r="M46" s="175"/>
      <c r="N46" s="176">
        <v>45055</v>
      </c>
      <c r="O46" s="177">
        <v>45055</v>
      </c>
      <c r="P46" s="116"/>
      <c r="Q46" s="253"/>
      <c r="R46" s="105" t="s">
        <v>5435</v>
      </c>
    </row>
    <row r="47" spans="2:18" ht="131.25" hidden="1" customHeight="1">
      <c r="B47" s="1724">
        <v>2023</v>
      </c>
      <c r="C47" s="1726"/>
      <c r="D47" s="1725">
        <v>45170</v>
      </c>
      <c r="E47" s="930"/>
      <c r="F47" s="178" t="s">
        <v>5984</v>
      </c>
      <c r="G47" s="172" t="s">
        <v>5438</v>
      </c>
      <c r="H47" s="173" t="s">
        <v>5985</v>
      </c>
      <c r="I47" s="173" t="s">
        <v>4759</v>
      </c>
      <c r="J47" s="173" t="s">
        <v>5482</v>
      </c>
      <c r="K47" s="173" t="s">
        <v>2580</v>
      </c>
      <c r="L47" s="586">
        <v>11896947.699999999</v>
      </c>
      <c r="M47" s="582">
        <v>45139</v>
      </c>
      <c r="N47" s="176">
        <v>45139</v>
      </c>
      <c r="O47" s="177">
        <v>45228</v>
      </c>
      <c r="P47" s="1723" t="s">
        <v>5986</v>
      </c>
      <c r="Q47" s="253"/>
      <c r="R47" s="105" t="s">
        <v>1404</v>
      </c>
    </row>
    <row r="48" spans="2:18" ht="109.5" hidden="1" customHeight="1">
      <c r="B48" s="1724">
        <v>2023</v>
      </c>
      <c r="C48" s="1726"/>
      <c r="D48" s="1725">
        <v>45170</v>
      </c>
      <c r="E48" s="930"/>
      <c r="F48" s="178" t="s">
        <v>5988</v>
      </c>
      <c r="G48" s="172" t="s">
        <v>5438</v>
      </c>
      <c r="H48" s="173" t="s">
        <v>5987</v>
      </c>
      <c r="I48" s="173" t="s">
        <v>4759</v>
      </c>
      <c r="J48" s="173" t="s">
        <v>5482</v>
      </c>
      <c r="K48" s="173" t="s">
        <v>2580</v>
      </c>
      <c r="L48" s="586">
        <v>11650052.449999999</v>
      </c>
      <c r="M48" s="582">
        <v>45141</v>
      </c>
      <c r="N48" s="176">
        <v>45141</v>
      </c>
      <c r="O48" s="177">
        <v>45230</v>
      </c>
      <c r="P48" s="1723" t="s">
        <v>4447</v>
      </c>
      <c r="Q48" s="253"/>
      <c r="R48" s="105" t="s">
        <v>1404</v>
      </c>
    </row>
    <row r="49" spans="2:18" ht="34.5" hidden="1" customHeight="1">
      <c r="B49" s="1724">
        <v>2023</v>
      </c>
      <c r="C49" s="1726"/>
      <c r="D49" s="1726"/>
      <c r="E49" s="170" t="s">
        <v>246</v>
      </c>
      <c r="F49" s="178" t="s">
        <v>6005</v>
      </c>
      <c r="G49" s="172" t="s">
        <v>5428</v>
      </c>
      <c r="H49" s="173" t="s">
        <v>5638</v>
      </c>
      <c r="I49" s="173" t="s">
        <v>4754</v>
      </c>
      <c r="J49" s="173" t="s">
        <v>6006</v>
      </c>
      <c r="K49" s="173" t="s">
        <v>1975</v>
      </c>
      <c r="L49" s="586">
        <v>7394088</v>
      </c>
      <c r="M49" s="175"/>
      <c r="N49" s="673"/>
      <c r="O49" s="1737"/>
      <c r="P49" s="1723"/>
      <c r="Q49" s="253"/>
      <c r="R49" s="105" t="s">
        <v>5435</v>
      </c>
    </row>
    <row r="50" spans="2:18" ht="34.5" hidden="1" customHeight="1">
      <c r="B50" s="1724">
        <v>2023</v>
      </c>
      <c r="C50" s="1726"/>
      <c r="D50" s="1726"/>
      <c r="E50" s="170" t="s">
        <v>246</v>
      </c>
      <c r="F50" s="178" t="s">
        <v>6007</v>
      </c>
      <c r="G50" s="172" t="s">
        <v>5428</v>
      </c>
      <c r="H50" s="173" t="s">
        <v>6008</v>
      </c>
      <c r="I50" s="173" t="s">
        <v>4754</v>
      </c>
      <c r="J50" s="173" t="s">
        <v>6009</v>
      </c>
      <c r="K50" s="173" t="s">
        <v>2527</v>
      </c>
      <c r="L50" s="1717">
        <v>5763435</v>
      </c>
      <c r="M50" s="175"/>
      <c r="N50" s="673"/>
      <c r="O50" s="1737"/>
      <c r="P50" s="1723"/>
      <c r="Q50" s="253"/>
      <c r="R50" s="105" t="s">
        <v>5435</v>
      </c>
    </row>
    <row r="51" spans="2:18" ht="99" hidden="1" customHeight="1">
      <c r="B51" s="1724">
        <v>2023</v>
      </c>
      <c r="C51" s="1726"/>
      <c r="D51" s="1726"/>
      <c r="E51" s="170" t="s">
        <v>246</v>
      </c>
      <c r="F51" s="178" t="s">
        <v>5989</v>
      </c>
      <c r="G51" s="172" t="s">
        <v>5438</v>
      </c>
      <c r="H51" s="173" t="s">
        <v>5990</v>
      </c>
      <c r="I51" s="173" t="s">
        <v>4759</v>
      </c>
      <c r="J51" s="173" t="s">
        <v>5639</v>
      </c>
      <c r="K51" s="173" t="s">
        <v>1975</v>
      </c>
      <c r="L51" s="586">
        <v>3704426.6</v>
      </c>
      <c r="M51" s="582">
        <v>45153</v>
      </c>
      <c r="N51" s="176">
        <v>45153</v>
      </c>
      <c r="O51" s="177">
        <v>45277</v>
      </c>
      <c r="P51" s="1723" t="s">
        <v>5991</v>
      </c>
      <c r="Q51" s="253"/>
      <c r="R51" s="105" t="s">
        <v>1404</v>
      </c>
    </row>
    <row r="52" spans="2:18" ht="94.5" hidden="1" customHeight="1">
      <c r="B52" s="1724">
        <v>2023</v>
      </c>
      <c r="C52" s="1726"/>
      <c r="D52" s="1726"/>
      <c r="E52" s="170" t="s">
        <v>246</v>
      </c>
      <c r="F52" s="178" t="s">
        <v>5965</v>
      </c>
      <c r="G52" s="172" t="s">
        <v>5438</v>
      </c>
      <c r="H52" s="173" t="s">
        <v>5966</v>
      </c>
      <c r="I52" s="173" t="s">
        <v>4759</v>
      </c>
      <c r="J52" s="173" t="s">
        <v>5640</v>
      </c>
      <c r="K52" s="173" t="s">
        <v>1975</v>
      </c>
      <c r="L52" s="586">
        <v>9083516.9600000009</v>
      </c>
      <c r="M52" s="582">
        <v>45112</v>
      </c>
      <c r="N52" s="176">
        <v>45166</v>
      </c>
      <c r="O52" s="177">
        <v>45260</v>
      </c>
      <c r="P52" s="1723" t="s">
        <v>5967</v>
      </c>
      <c r="Q52" s="253"/>
      <c r="R52" s="105" t="s">
        <v>1404</v>
      </c>
    </row>
    <row r="53" spans="2:18" ht="94.5" hidden="1" customHeight="1">
      <c r="B53" s="1724">
        <v>2023</v>
      </c>
      <c r="C53" s="1726"/>
      <c r="D53" s="1726"/>
      <c r="E53" s="170" t="s">
        <v>246</v>
      </c>
      <c r="F53" s="178" t="s">
        <v>5999</v>
      </c>
      <c r="G53" s="172" t="s">
        <v>5438</v>
      </c>
      <c r="H53" s="173" t="s">
        <v>6000</v>
      </c>
      <c r="I53" s="173" t="s">
        <v>4759</v>
      </c>
      <c r="J53" s="173" t="s">
        <v>4773</v>
      </c>
      <c r="K53" s="173" t="s">
        <v>2527</v>
      </c>
      <c r="L53" s="586">
        <v>6362056.4400000004</v>
      </c>
      <c r="M53" s="582">
        <v>45092</v>
      </c>
      <c r="N53" s="176">
        <v>45092</v>
      </c>
      <c r="O53" s="177">
        <v>45209</v>
      </c>
      <c r="P53" s="1723" t="s">
        <v>5991</v>
      </c>
      <c r="Q53" s="253"/>
      <c r="R53" s="105" t="s">
        <v>5435</v>
      </c>
    </row>
    <row r="54" spans="2:18" ht="48" hidden="1" customHeight="1">
      <c r="B54" s="1724">
        <v>2023</v>
      </c>
      <c r="C54" s="1726"/>
      <c r="D54" s="1726"/>
      <c r="E54" s="930"/>
      <c r="F54" s="178" t="s">
        <v>5642</v>
      </c>
      <c r="G54" s="172" t="s">
        <v>5428</v>
      </c>
      <c r="H54" s="173" t="s">
        <v>5641</v>
      </c>
      <c r="I54" s="173" t="s">
        <v>6270</v>
      </c>
      <c r="J54" s="173" t="s">
        <v>3422</v>
      </c>
      <c r="K54" s="173" t="s">
        <v>3626</v>
      </c>
      <c r="L54" s="586">
        <v>20833765.649999999</v>
      </c>
      <c r="M54" s="582"/>
      <c r="N54" s="176">
        <v>45122</v>
      </c>
      <c r="O54" s="177">
        <v>45275</v>
      </c>
      <c r="P54" s="1723" t="s">
        <v>5643</v>
      </c>
      <c r="Q54" s="253"/>
      <c r="R54" s="105" t="s">
        <v>1404</v>
      </c>
    </row>
    <row r="55" spans="2:18" ht="69.75" hidden="1" customHeight="1">
      <c r="B55" s="1724">
        <v>2023</v>
      </c>
      <c r="C55" s="1726"/>
      <c r="D55" s="1726"/>
      <c r="E55" s="170" t="s">
        <v>5968</v>
      </c>
      <c r="F55" s="178" t="s">
        <v>5969</v>
      </c>
      <c r="G55" s="172" t="s">
        <v>5428</v>
      </c>
      <c r="H55" s="173" t="s">
        <v>5970</v>
      </c>
      <c r="I55" s="173" t="s">
        <v>4762</v>
      </c>
      <c r="J55" s="173" t="s">
        <v>5971</v>
      </c>
      <c r="K55" s="173" t="s">
        <v>3626</v>
      </c>
      <c r="L55" s="174">
        <v>3941792.2</v>
      </c>
      <c r="M55" s="175">
        <v>45150</v>
      </c>
      <c r="N55" s="176">
        <v>45150</v>
      </c>
      <c r="O55" s="177">
        <v>45269</v>
      </c>
      <c r="P55" s="1723" t="s">
        <v>5972</v>
      </c>
      <c r="Q55" s="253"/>
      <c r="R55" s="105" t="s">
        <v>1404</v>
      </c>
    </row>
    <row r="56" spans="2:18" ht="64.5" hidden="1" customHeight="1">
      <c r="B56" s="1724">
        <v>2023</v>
      </c>
      <c r="C56" s="1726"/>
      <c r="D56" s="1726"/>
      <c r="E56" s="170" t="s">
        <v>5968</v>
      </c>
      <c r="F56" s="178" t="s">
        <v>5973</v>
      </c>
      <c r="G56" s="172" t="s">
        <v>5428</v>
      </c>
      <c r="H56" s="173" t="s">
        <v>5974</v>
      </c>
      <c r="I56" s="173" t="s">
        <v>4762</v>
      </c>
      <c r="J56" s="173" t="s">
        <v>5971</v>
      </c>
      <c r="K56" s="173" t="s">
        <v>3626</v>
      </c>
      <c r="L56" s="174">
        <v>7371248.8700000001</v>
      </c>
      <c r="M56" s="175">
        <v>45150</v>
      </c>
      <c r="N56" s="176">
        <v>45150</v>
      </c>
      <c r="O56" s="177">
        <v>45269</v>
      </c>
      <c r="P56" s="1723" t="s">
        <v>5975</v>
      </c>
      <c r="Q56" s="253"/>
      <c r="R56" s="105" t="s">
        <v>1404</v>
      </c>
    </row>
    <row r="57" spans="2:18" ht="63" customHeight="1">
      <c r="B57" s="1724">
        <v>2023</v>
      </c>
      <c r="C57" s="1726"/>
      <c r="D57" s="1726"/>
      <c r="E57" s="170" t="s">
        <v>5968</v>
      </c>
      <c r="F57" s="178" t="s">
        <v>5976</v>
      </c>
      <c r="G57" s="172" t="s">
        <v>5428</v>
      </c>
      <c r="H57" s="173" t="s">
        <v>5977</v>
      </c>
      <c r="I57" s="173" t="s">
        <v>4762</v>
      </c>
      <c r="J57" s="173" t="s">
        <v>5978</v>
      </c>
      <c r="K57" s="173" t="s">
        <v>1975</v>
      </c>
      <c r="L57" s="174">
        <v>9163641.6500000004</v>
      </c>
      <c r="M57" s="175">
        <v>45150</v>
      </c>
      <c r="N57" s="176">
        <v>45150</v>
      </c>
      <c r="O57" s="177">
        <v>45289</v>
      </c>
      <c r="P57" s="1723" t="s">
        <v>5979</v>
      </c>
      <c r="Q57" s="253"/>
      <c r="R57" s="105" t="s">
        <v>1404</v>
      </c>
    </row>
    <row r="58" spans="2:18" ht="51" hidden="1" customHeight="1">
      <c r="B58" s="1724">
        <v>2023</v>
      </c>
      <c r="C58" s="1726"/>
      <c r="D58" s="1726"/>
      <c r="E58" s="170"/>
      <c r="F58" s="178" t="s">
        <v>5980</v>
      </c>
      <c r="G58" s="172" t="s">
        <v>5428</v>
      </c>
      <c r="H58" s="173" t="s">
        <v>5981</v>
      </c>
      <c r="I58" s="173" t="s">
        <v>6268</v>
      </c>
      <c r="J58" s="173" t="s">
        <v>5982</v>
      </c>
      <c r="K58" s="173" t="s">
        <v>3626</v>
      </c>
      <c r="L58" s="174">
        <v>3720358.28</v>
      </c>
      <c r="M58" s="175">
        <v>45122</v>
      </c>
      <c r="N58" s="176">
        <v>45122</v>
      </c>
      <c r="O58" s="177">
        <v>45216</v>
      </c>
      <c r="P58" s="1723" t="s">
        <v>5983</v>
      </c>
      <c r="Q58" s="253"/>
      <c r="R58" s="105" t="s">
        <v>1405</v>
      </c>
    </row>
    <row r="59" spans="2:18" ht="60.75" hidden="1" customHeight="1">
      <c r="B59" s="1724">
        <v>2023</v>
      </c>
      <c r="C59" s="1726"/>
      <c r="D59" s="1726"/>
      <c r="E59" s="170" t="s">
        <v>5968</v>
      </c>
      <c r="F59" s="178" t="s">
        <v>5992</v>
      </c>
      <c r="G59" s="172" t="s">
        <v>5438</v>
      </c>
      <c r="H59" s="173" t="s">
        <v>5993</v>
      </c>
      <c r="I59" s="173" t="s">
        <v>4762</v>
      </c>
      <c r="J59" s="173" t="s">
        <v>5994</v>
      </c>
      <c r="K59" s="173" t="s">
        <v>3626</v>
      </c>
      <c r="L59" s="174">
        <v>11972589.91</v>
      </c>
      <c r="M59" s="175">
        <v>45135</v>
      </c>
      <c r="N59" s="176">
        <v>45135</v>
      </c>
      <c r="O59" s="177">
        <v>47416</v>
      </c>
      <c r="P59" s="1723" t="s">
        <v>5995</v>
      </c>
      <c r="Q59" s="253"/>
      <c r="R59" s="105" t="s">
        <v>1404</v>
      </c>
    </row>
    <row r="60" spans="2:18" ht="61.5" hidden="1" customHeight="1">
      <c r="B60" s="1724">
        <v>2023</v>
      </c>
      <c r="C60" s="1726"/>
      <c r="D60" s="1726"/>
      <c r="E60" s="170" t="s">
        <v>5968</v>
      </c>
      <c r="F60" s="178" t="s">
        <v>5996</v>
      </c>
      <c r="G60" s="172" t="s">
        <v>5438</v>
      </c>
      <c r="H60" s="173" t="s">
        <v>5997</v>
      </c>
      <c r="I60" s="173" t="s">
        <v>4762</v>
      </c>
      <c r="J60" s="173" t="s">
        <v>5457</v>
      </c>
      <c r="K60" s="173" t="s">
        <v>3626</v>
      </c>
      <c r="L60" s="174">
        <v>5386041.4100000001</v>
      </c>
      <c r="M60" s="175">
        <v>45136</v>
      </c>
      <c r="N60" s="176">
        <v>45136</v>
      </c>
      <c r="O60" s="177">
        <v>45225</v>
      </c>
      <c r="P60" s="1723" t="s">
        <v>5998</v>
      </c>
      <c r="Q60" s="253"/>
      <c r="R60" s="105" t="s">
        <v>1404</v>
      </c>
    </row>
    <row r="61" spans="2:18" ht="61.5" customHeight="1">
      <c r="B61" s="1724">
        <v>2023</v>
      </c>
      <c r="C61" s="1726"/>
      <c r="D61" s="1726"/>
      <c r="E61" s="170" t="s">
        <v>5968</v>
      </c>
      <c r="F61" s="178" t="s">
        <v>6001</v>
      </c>
      <c r="G61" s="172" t="s">
        <v>5438</v>
      </c>
      <c r="H61" s="173" t="s">
        <v>6002</v>
      </c>
      <c r="I61" s="173" t="s">
        <v>4762</v>
      </c>
      <c r="J61" s="173" t="s">
        <v>6003</v>
      </c>
      <c r="K61" s="173" t="s">
        <v>1975</v>
      </c>
      <c r="L61" s="174">
        <v>7985746.0800000001</v>
      </c>
      <c r="M61" s="175">
        <v>45184</v>
      </c>
      <c r="N61" s="176">
        <v>45184</v>
      </c>
      <c r="O61" s="177">
        <v>45258</v>
      </c>
      <c r="P61" s="1723" t="s">
        <v>6004</v>
      </c>
      <c r="Q61" s="253"/>
      <c r="R61" s="105" t="s">
        <v>1404</v>
      </c>
    </row>
    <row r="62" spans="2:18" ht="34.5" hidden="1" customHeight="1">
      <c r="B62" s="1724">
        <v>2023</v>
      </c>
      <c r="C62" s="1726"/>
      <c r="D62" s="1726"/>
      <c r="E62" s="170"/>
      <c r="F62" s="178"/>
      <c r="G62" s="172"/>
      <c r="H62" s="173"/>
      <c r="I62" s="173"/>
      <c r="J62" s="173"/>
      <c r="K62" s="173"/>
      <c r="L62" s="174"/>
      <c r="M62" s="175"/>
      <c r="N62" s="176"/>
      <c r="O62" s="177"/>
      <c r="P62" s="1723"/>
      <c r="Q62" s="253"/>
      <c r="R62" s="105"/>
    </row>
    <row r="63" spans="2:18" ht="34.5" hidden="1" customHeight="1">
      <c r="B63" s="1724">
        <v>2023</v>
      </c>
      <c r="C63" s="1726"/>
      <c r="D63" s="1726"/>
      <c r="E63" s="170"/>
      <c r="F63" s="178"/>
      <c r="G63" s="172"/>
      <c r="H63" s="173"/>
      <c r="I63" s="173"/>
      <c r="J63" s="173"/>
      <c r="K63" s="173"/>
      <c r="L63" s="174"/>
      <c r="M63" s="175"/>
      <c r="N63" s="176"/>
      <c r="O63" s="177"/>
      <c r="P63" s="1723"/>
      <c r="Q63" s="253"/>
      <c r="R63" s="105"/>
    </row>
    <row r="64" spans="2:18" ht="34.5" hidden="1" customHeight="1">
      <c r="B64" s="1724">
        <v>2023</v>
      </c>
      <c r="C64" s="1726"/>
      <c r="D64" s="1726"/>
      <c r="E64" s="170"/>
      <c r="F64" s="178"/>
      <c r="G64" s="172"/>
      <c r="H64" s="173"/>
      <c r="I64" s="173"/>
      <c r="J64" s="173"/>
      <c r="K64" s="173"/>
      <c r="L64" s="174"/>
      <c r="M64" s="175"/>
      <c r="N64" s="176"/>
      <c r="O64" s="177"/>
      <c r="P64" s="1723"/>
      <c r="Q64" s="253"/>
      <c r="R64" s="105"/>
    </row>
    <row r="65" spans="2:18" ht="34.5" hidden="1" customHeight="1">
      <c r="B65" s="1724">
        <v>2023</v>
      </c>
      <c r="C65" s="1726"/>
      <c r="D65" s="1726"/>
      <c r="E65" s="170"/>
      <c r="F65" s="178"/>
      <c r="G65" s="172"/>
      <c r="H65" s="173"/>
      <c r="I65" s="173"/>
      <c r="J65" s="173"/>
      <c r="K65" s="173"/>
      <c r="L65" s="174"/>
      <c r="M65" s="175"/>
      <c r="N65" s="176"/>
      <c r="O65" s="177"/>
      <c r="P65" s="1723"/>
      <c r="Q65" s="253"/>
      <c r="R65" s="105"/>
    </row>
    <row r="66" spans="2:18" ht="34.5" hidden="1" customHeight="1">
      <c r="B66" s="1724">
        <v>2023</v>
      </c>
      <c r="C66" s="1726"/>
      <c r="D66" s="1726"/>
      <c r="E66" s="170"/>
      <c r="F66" s="178"/>
      <c r="G66" s="172"/>
      <c r="H66" s="173"/>
      <c r="I66" s="173"/>
      <c r="J66" s="173"/>
      <c r="K66" s="173"/>
      <c r="L66" s="174"/>
      <c r="M66" s="175"/>
      <c r="N66" s="176"/>
      <c r="O66" s="177"/>
      <c r="P66" s="1723"/>
      <c r="Q66" s="253"/>
      <c r="R66" s="105"/>
    </row>
    <row r="67" spans="2:18" ht="34.5" hidden="1" customHeight="1">
      <c r="B67" s="1724">
        <v>2023</v>
      </c>
      <c r="C67" s="1726"/>
      <c r="D67" s="1726"/>
      <c r="E67" s="170"/>
      <c r="F67" s="178"/>
      <c r="G67" s="172"/>
      <c r="H67" s="173"/>
      <c r="I67" s="173"/>
      <c r="J67" s="173"/>
      <c r="K67" s="173"/>
      <c r="L67" s="174"/>
      <c r="M67" s="175"/>
      <c r="N67" s="176"/>
      <c r="O67" s="177"/>
      <c r="P67" s="1723"/>
      <c r="Q67" s="253"/>
      <c r="R67" s="105"/>
    </row>
    <row r="68" spans="2:18" ht="34.5" hidden="1" customHeight="1">
      <c r="B68" s="1724">
        <v>2023</v>
      </c>
      <c r="C68" s="1726"/>
      <c r="D68" s="1726"/>
      <c r="E68" s="170"/>
      <c r="F68" s="178"/>
      <c r="G68" s="172"/>
      <c r="H68" s="173"/>
      <c r="I68" s="173"/>
      <c r="J68" s="173"/>
      <c r="K68" s="173"/>
      <c r="L68" s="174"/>
      <c r="M68" s="175"/>
      <c r="N68" s="176"/>
      <c r="O68" s="177"/>
      <c r="P68" s="1723"/>
      <c r="Q68" s="253"/>
      <c r="R68" s="105"/>
    </row>
    <row r="69" spans="2:18" ht="34.5" hidden="1" customHeight="1">
      <c r="B69" s="1724">
        <v>2023</v>
      </c>
      <c r="C69" s="1726"/>
      <c r="D69" s="1726"/>
      <c r="E69" s="170"/>
      <c r="F69" s="178"/>
      <c r="G69" s="172"/>
      <c r="H69" s="173"/>
      <c r="I69" s="173"/>
      <c r="J69" s="173"/>
      <c r="K69" s="173"/>
      <c r="L69" s="174"/>
      <c r="M69" s="175"/>
      <c r="N69" s="176"/>
      <c r="O69" s="177"/>
      <c r="P69" s="1723"/>
      <c r="Q69" s="253"/>
      <c r="R69" s="105"/>
    </row>
    <row r="70" spans="2:18" ht="34.5" hidden="1" customHeight="1">
      <c r="B70" s="1724">
        <v>2023</v>
      </c>
      <c r="C70" s="1726"/>
      <c r="D70" s="1726"/>
      <c r="E70" s="170"/>
      <c r="F70" s="178"/>
      <c r="G70" s="172"/>
      <c r="H70" s="173"/>
      <c r="I70" s="173"/>
      <c r="J70" s="173"/>
      <c r="K70" s="173"/>
      <c r="L70" s="174"/>
      <c r="M70" s="175"/>
      <c r="N70" s="176"/>
      <c r="O70" s="177"/>
      <c r="P70" s="1723"/>
      <c r="Q70" s="253"/>
      <c r="R70" s="105"/>
    </row>
    <row r="71" spans="2:18" ht="34.5" hidden="1" customHeight="1">
      <c r="B71" s="1724">
        <v>2023</v>
      </c>
      <c r="C71" s="1726"/>
      <c r="D71" s="1726"/>
      <c r="E71" s="170"/>
      <c r="F71" s="178"/>
      <c r="G71" s="172"/>
      <c r="H71" s="173"/>
      <c r="I71" s="173"/>
      <c r="J71" s="173"/>
      <c r="K71" s="173"/>
      <c r="L71" s="174"/>
      <c r="M71" s="175"/>
      <c r="N71" s="176"/>
      <c r="O71" s="177"/>
      <c r="P71" s="1723"/>
      <c r="Q71" s="253"/>
      <c r="R71" s="105"/>
    </row>
    <row r="72" spans="2:18" ht="34.5" hidden="1" customHeight="1">
      <c r="B72" s="1724">
        <v>2023</v>
      </c>
      <c r="C72" s="1726"/>
      <c r="D72" s="1726"/>
      <c r="E72" s="170"/>
      <c r="F72" s="178"/>
      <c r="G72" s="172"/>
      <c r="H72" s="173"/>
      <c r="I72" s="173"/>
      <c r="J72" s="173"/>
      <c r="K72" s="173"/>
      <c r="L72" s="174"/>
      <c r="M72" s="175"/>
      <c r="N72" s="176"/>
      <c r="O72" s="177"/>
      <c r="P72" s="1723"/>
      <c r="Q72" s="253"/>
      <c r="R72" s="105"/>
    </row>
    <row r="73" spans="2:18" ht="34.5" hidden="1" customHeight="1">
      <c r="B73" s="1724">
        <v>2023</v>
      </c>
      <c r="C73" s="1726"/>
      <c r="D73" s="1726"/>
      <c r="E73" s="170"/>
      <c r="F73" s="178"/>
      <c r="G73" s="172"/>
      <c r="H73" s="173"/>
      <c r="I73" s="173"/>
      <c r="J73" s="173"/>
      <c r="K73" s="173"/>
      <c r="L73" s="174"/>
      <c r="M73" s="175"/>
      <c r="N73" s="176"/>
      <c r="O73" s="177"/>
      <c r="P73" s="1723"/>
      <c r="Q73" s="253"/>
      <c r="R73" s="105"/>
    </row>
    <row r="74" spans="2:18" ht="34.5" hidden="1" customHeight="1">
      <c r="B74" s="1724">
        <v>2023</v>
      </c>
      <c r="C74" s="1726"/>
      <c r="D74" s="1726"/>
      <c r="E74" s="170"/>
      <c r="F74" s="178"/>
      <c r="G74" s="172"/>
      <c r="H74" s="173"/>
      <c r="I74" s="173"/>
      <c r="J74" s="173"/>
      <c r="K74" s="173"/>
      <c r="L74" s="174"/>
      <c r="M74" s="175"/>
      <c r="N74" s="176"/>
      <c r="O74" s="177"/>
      <c r="P74" s="1723"/>
      <c r="Q74" s="253"/>
      <c r="R74" s="105"/>
    </row>
    <row r="75" spans="2:18" ht="34.5" hidden="1" customHeight="1">
      <c r="B75" s="1724">
        <v>2023</v>
      </c>
      <c r="C75" s="1726"/>
      <c r="D75" s="1726"/>
      <c r="E75" s="170"/>
      <c r="F75" s="178"/>
      <c r="G75" s="172"/>
      <c r="H75" s="173"/>
      <c r="I75" s="173"/>
      <c r="J75" s="173"/>
      <c r="K75" s="173"/>
      <c r="L75" s="174"/>
      <c r="M75" s="175"/>
      <c r="N75" s="176"/>
      <c r="O75" s="177"/>
      <c r="P75" s="1723"/>
      <c r="Q75" s="253"/>
      <c r="R75" s="105"/>
    </row>
    <row r="76" spans="2:18" ht="34.5" hidden="1" customHeight="1">
      <c r="B76" s="1724">
        <v>2023</v>
      </c>
      <c r="C76" s="1726"/>
      <c r="D76" s="1726"/>
      <c r="E76" s="170"/>
      <c r="F76" s="178"/>
      <c r="G76" s="172"/>
      <c r="H76" s="173"/>
      <c r="I76" s="173"/>
      <c r="J76" s="173"/>
      <c r="K76" s="173"/>
      <c r="L76" s="174"/>
      <c r="M76" s="175"/>
      <c r="N76" s="176"/>
      <c r="O76" s="177"/>
      <c r="P76" s="1723"/>
      <c r="Q76" s="253"/>
      <c r="R76" s="105"/>
    </row>
    <row r="77" spans="2:18" ht="34.5" hidden="1" customHeight="1">
      <c r="B77" s="1724">
        <v>2023</v>
      </c>
      <c r="C77" s="1726"/>
      <c r="D77" s="1726"/>
      <c r="E77" s="170"/>
      <c r="F77" s="178"/>
      <c r="G77" s="172"/>
      <c r="H77" s="173"/>
      <c r="I77" s="173"/>
      <c r="J77" s="173"/>
      <c r="K77" s="173"/>
      <c r="L77" s="174"/>
      <c r="M77" s="175"/>
      <c r="N77" s="176"/>
      <c r="O77" s="177"/>
      <c r="P77" s="1723"/>
      <c r="Q77" s="253"/>
      <c r="R77" s="105"/>
    </row>
    <row r="78" spans="2:18" ht="34.5" hidden="1" customHeight="1">
      <c r="B78" s="1724">
        <v>2023</v>
      </c>
      <c r="C78" s="1726"/>
      <c r="D78" s="1726"/>
      <c r="E78" s="170"/>
      <c r="F78" s="178"/>
      <c r="G78" s="172"/>
      <c r="H78" s="173"/>
      <c r="I78" s="173"/>
      <c r="J78" s="173"/>
      <c r="K78" s="173"/>
      <c r="L78" s="174"/>
      <c r="M78" s="175"/>
      <c r="N78" s="176"/>
      <c r="O78" s="177"/>
      <c r="P78" s="1723"/>
      <c r="Q78" s="253"/>
      <c r="R78" s="105"/>
    </row>
    <row r="79" spans="2:18" ht="34.5" hidden="1" customHeight="1">
      <c r="B79" s="1724">
        <v>2023</v>
      </c>
      <c r="C79" s="1726"/>
      <c r="D79" s="1726"/>
      <c r="E79" s="170"/>
      <c r="F79" s="178"/>
      <c r="G79" s="172"/>
      <c r="H79" s="173"/>
      <c r="I79" s="173"/>
      <c r="J79" s="173"/>
      <c r="K79" s="173"/>
      <c r="L79" s="174"/>
      <c r="M79" s="175"/>
      <c r="N79" s="176"/>
      <c r="O79" s="177"/>
      <c r="P79" s="1723"/>
      <c r="Q79" s="253"/>
      <c r="R79" s="105"/>
    </row>
    <row r="80" spans="2:18" ht="34.5" hidden="1" customHeight="1">
      <c r="B80" s="1724">
        <v>2023</v>
      </c>
      <c r="C80" s="1726"/>
      <c r="D80" s="1726"/>
      <c r="E80" s="170"/>
      <c r="F80" s="178"/>
      <c r="G80" s="172"/>
      <c r="H80" s="173"/>
      <c r="I80" s="173"/>
      <c r="J80" s="173"/>
      <c r="K80" s="173"/>
      <c r="L80" s="174"/>
      <c r="M80" s="175"/>
      <c r="N80" s="176"/>
      <c r="O80" s="177"/>
      <c r="P80" s="1723"/>
      <c r="Q80" s="253"/>
      <c r="R80" s="105"/>
    </row>
    <row r="81" spans="1:18" ht="34.5" hidden="1" customHeight="1">
      <c r="B81" s="1724">
        <v>2023</v>
      </c>
      <c r="C81" s="1726"/>
      <c r="D81" s="1726"/>
      <c r="E81" s="170"/>
      <c r="F81" s="178"/>
      <c r="G81" s="172"/>
      <c r="H81" s="173"/>
      <c r="I81" s="173"/>
      <c r="J81" s="173"/>
      <c r="K81" s="173"/>
      <c r="L81" s="174"/>
      <c r="M81" s="175"/>
      <c r="N81" s="176"/>
      <c r="O81" s="177"/>
      <c r="P81" s="1723"/>
      <c r="Q81" s="253"/>
      <c r="R81" s="105"/>
    </row>
    <row r="82" spans="1:18" ht="34.5" hidden="1" customHeight="1">
      <c r="B82" s="1724">
        <v>2023</v>
      </c>
      <c r="C82" s="1726"/>
      <c r="D82" s="1726"/>
      <c r="E82" s="170"/>
      <c r="F82" s="178"/>
      <c r="G82" s="172"/>
      <c r="H82" s="173"/>
      <c r="I82" s="173"/>
      <c r="J82" s="173"/>
      <c r="K82" s="173"/>
      <c r="L82" s="174"/>
      <c r="M82" s="175"/>
      <c r="N82" s="176"/>
      <c r="O82" s="177"/>
      <c r="P82" s="1723"/>
      <c r="Q82" s="253"/>
      <c r="R82" s="105"/>
    </row>
    <row r="83" spans="1:18" ht="34.5" hidden="1" customHeight="1">
      <c r="B83" s="1724">
        <v>2023</v>
      </c>
      <c r="C83" s="1727"/>
      <c r="D83" s="1727"/>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88">
        <v>44741</v>
      </c>
      <c r="I86" s="2188"/>
      <c r="J86" s="2188"/>
      <c r="K86" s="2188"/>
      <c r="L86" s="2188"/>
      <c r="N86" s="1013" t="s">
        <v>523</v>
      </c>
    </row>
    <row r="87" spans="1:18" ht="15.75">
      <c r="L87" s="1881">
        <f>L21+L22+L23+L24</f>
        <v>29285582.559999999</v>
      </c>
    </row>
    <row r="88" spans="1:18">
      <c r="L88" s="506"/>
    </row>
    <row r="89" spans="1:18" ht="35.25" customHeight="1">
      <c r="E89" s="1291" t="s">
        <v>3770</v>
      </c>
      <c r="F89" s="738"/>
      <c r="G89" s="738"/>
      <c r="H89" s="738"/>
      <c r="I89" s="738"/>
      <c r="J89" s="738"/>
      <c r="K89" s="738"/>
      <c r="L89" s="2187"/>
      <c r="M89" s="2052"/>
      <c r="N89" s="2052"/>
    </row>
    <row r="90" spans="1:18" ht="21">
      <c r="E90" s="1291" t="s">
        <v>3630</v>
      </c>
      <c r="L90" s="506"/>
    </row>
    <row r="92" spans="1:18">
      <c r="L92" s="107"/>
    </row>
    <row r="94" spans="1:18">
      <c r="J94" t="s">
        <v>5645</v>
      </c>
      <c r="L94" s="506">
        <f>L5+L22+L23+L24+L25+L26+L27+L28+L29+L30+L31+L32+L33+L34+L35+L40</f>
        <v>119563221.11000001</v>
      </c>
      <c r="Q94" s="506">
        <f>L94+28799726.37</f>
        <v>148362947.48000002</v>
      </c>
    </row>
    <row r="95" spans="1:18">
      <c r="J95" t="s">
        <v>5646</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47"/>
      <c r="M112" s="2047"/>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3966</v>
      </c>
      <c r="B5">
        <v>1</v>
      </c>
    </row>
    <row r="6" spans="1:17">
      <c r="A6" t="s">
        <v>3967</v>
      </c>
      <c r="B6">
        <v>2</v>
      </c>
      <c r="Q6" t="s">
        <v>1247</v>
      </c>
    </row>
    <row r="7" spans="1:17">
      <c r="A7" t="s">
        <v>3968</v>
      </c>
      <c r="B7">
        <v>3</v>
      </c>
    </row>
    <row r="8" spans="1:17">
      <c r="A8" t="s">
        <v>3969</v>
      </c>
      <c r="B8">
        <v>4</v>
      </c>
    </row>
    <row r="9" spans="1:17">
      <c r="A9" t="s">
        <v>45</v>
      </c>
      <c r="B9">
        <v>5</v>
      </c>
    </row>
    <row r="10" spans="1:17">
      <c r="A10" t="s">
        <v>3970</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K913"/>
  <sheetViews>
    <sheetView tabSelected="1" view="pageBreakPreview" topLeftCell="M1" zoomScale="55" zoomScaleNormal="85" zoomScaleSheetLayoutView="55" workbookViewId="0">
      <selection activeCell="AA599" sqref="AA599"/>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hidden="1" customWidth="1"/>
    <col min="13" max="14" width="29.140625" style="595"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53" width="18.7109375" hidden="1" customWidth="1"/>
    <col min="54" max="60" width="12.7109375" hidden="1" customWidth="1"/>
    <col min="61" max="61" width="5.140625" hidden="1" customWidth="1"/>
    <col min="62" max="62" width="5.28515625" hidden="1" customWidth="1"/>
    <col min="63" max="63" width="43.42578125" hidden="1" customWidth="1"/>
  </cols>
  <sheetData>
    <row r="1" spans="1:62" ht="43.5" customHeight="1">
      <c r="A1" s="2079" t="s">
        <v>4308</v>
      </c>
      <c r="B1" s="2080"/>
      <c r="C1" s="2080"/>
      <c r="D1" s="2080"/>
      <c r="E1" s="2080"/>
      <c r="F1" s="2080"/>
      <c r="G1" s="2080"/>
      <c r="H1" s="2080"/>
      <c r="I1" s="2081"/>
      <c r="J1" s="2080"/>
      <c r="K1" s="2080"/>
      <c r="L1" s="2080"/>
      <c r="M1" s="2081"/>
      <c r="N1" s="2081"/>
      <c r="O1" s="2080"/>
      <c r="P1" s="2080"/>
      <c r="Q1" s="2080"/>
      <c r="R1" s="2080"/>
      <c r="S1" s="2080"/>
      <c r="T1" s="2080"/>
      <c r="U1" s="2080"/>
      <c r="V1" s="2080"/>
      <c r="W1" s="2080"/>
      <c r="X1" s="2080"/>
      <c r="Y1" s="2080"/>
      <c r="Z1" s="2082"/>
      <c r="AA1" s="2082"/>
      <c r="AB1" s="2080"/>
      <c r="AC1" s="2082"/>
      <c r="AD1" s="2082"/>
      <c r="AE1" s="2080"/>
      <c r="AF1" s="2080"/>
      <c r="AG1" s="2080"/>
      <c r="AH1" s="2080"/>
      <c r="AI1" s="2080"/>
      <c r="AJ1" s="2080"/>
      <c r="AK1" s="2080"/>
      <c r="AL1" s="2080"/>
      <c r="AM1" s="2080"/>
      <c r="AN1" s="2080"/>
      <c r="AO1" s="2080"/>
      <c r="AP1" s="2080"/>
      <c r="AQ1" s="2080"/>
      <c r="AR1" s="2080"/>
      <c r="AS1" s="2080"/>
      <c r="AT1" s="2080"/>
      <c r="AU1" s="2080"/>
      <c r="AV1" s="2080"/>
      <c r="AW1" s="2080"/>
      <c r="AX1" s="2080"/>
      <c r="AY1" s="2080"/>
      <c r="AZ1" s="2080"/>
      <c r="BA1" s="2080"/>
      <c r="BB1" s="2080"/>
      <c r="BC1" s="2080"/>
      <c r="BD1" s="2080"/>
      <c r="BE1" s="2080"/>
      <c r="BF1" s="2080"/>
      <c r="BG1" s="2080"/>
      <c r="BH1" s="2080"/>
      <c r="BI1" s="2080"/>
      <c r="BJ1" s="2083"/>
    </row>
    <row r="2" spans="1:62" ht="23.25" customHeight="1">
      <c r="A2" s="2084" t="s">
        <v>6992</v>
      </c>
      <c r="B2" s="2085"/>
      <c r="C2" s="2085"/>
      <c r="D2" s="2085"/>
      <c r="E2" s="2085"/>
      <c r="F2" s="2085"/>
      <c r="G2" s="2085"/>
      <c r="H2" s="2086"/>
      <c r="I2" s="2087"/>
      <c r="J2" s="2085"/>
      <c r="K2" s="2085"/>
      <c r="L2" s="2085"/>
      <c r="M2" s="2087"/>
      <c r="N2" s="2087"/>
      <c r="O2" s="2085"/>
      <c r="P2" s="2085"/>
      <c r="Q2" s="2085"/>
      <c r="R2" s="2085"/>
      <c r="S2" s="2085"/>
      <c r="T2" s="2085"/>
      <c r="U2" s="2085"/>
      <c r="V2" s="2085"/>
      <c r="W2" s="2085"/>
      <c r="X2" s="2085"/>
      <c r="Y2" s="2086"/>
      <c r="Z2" s="2088"/>
      <c r="AA2" s="2088"/>
      <c r="AB2" s="2085"/>
      <c r="AC2" s="2088"/>
      <c r="AD2" s="2088"/>
      <c r="AE2" s="2085"/>
      <c r="AF2" s="2085"/>
      <c r="AG2" s="2085"/>
      <c r="AH2" s="2085"/>
      <c r="AI2" s="2085"/>
      <c r="AJ2" s="2085"/>
      <c r="AK2" s="2085"/>
      <c r="AL2" s="2085"/>
      <c r="AM2" s="2085"/>
      <c r="AN2" s="2085"/>
      <c r="AO2" s="2085"/>
      <c r="AP2" s="2085"/>
      <c r="AQ2" s="2085"/>
      <c r="AR2" s="2085"/>
      <c r="AS2" s="2085"/>
      <c r="AT2" s="2085"/>
      <c r="AU2" s="2085"/>
      <c r="AV2" s="2085"/>
      <c r="AW2" s="2085"/>
      <c r="AX2" s="2085"/>
      <c r="AY2" s="2085"/>
      <c r="AZ2" s="2085"/>
      <c r="BA2" s="2085"/>
      <c r="BB2" s="2085"/>
      <c r="BC2" s="2085"/>
      <c r="BD2" s="2085"/>
      <c r="BE2" s="2085"/>
      <c r="BF2" s="2085"/>
      <c r="BG2" s="2085"/>
      <c r="BH2" s="2085"/>
      <c r="BI2" s="2085"/>
      <c r="BJ2" s="2089"/>
    </row>
    <row r="3" spans="1:62" ht="33.75" customHeight="1" thickBot="1">
      <c r="A3" s="1163"/>
      <c r="B3" s="1135"/>
      <c r="C3" s="1135"/>
      <c r="D3" s="1135"/>
      <c r="E3" s="1164" t="s">
        <v>2963</v>
      </c>
      <c r="F3" s="2090">
        <f>E911</f>
        <v>45789</v>
      </c>
      <c r="G3" s="2091"/>
      <c r="H3" s="2092"/>
      <c r="I3" s="2091"/>
      <c r="J3" s="2091"/>
      <c r="K3" s="1135"/>
      <c r="L3" s="1135"/>
      <c r="M3" s="1135"/>
      <c r="N3" s="1135"/>
      <c r="O3" s="1135"/>
      <c r="P3" s="1135"/>
      <c r="Q3" s="1135"/>
      <c r="R3" s="1135"/>
      <c r="S3" s="1135"/>
      <c r="T3" s="1135"/>
      <c r="U3" s="1135"/>
      <c r="V3" s="1135"/>
      <c r="W3" s="1135"/>
      <c r="X3" s="1135"/>
      <c r="Y3" s="1831"/>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65"/>
    </row>
    <row r="4" spans="1:62" ht="33" customHeight="1" thickTop="1">
      <c r="A4" s="2097"/>
      <c r="B4" s="2098"/>
      <c r="C4" s="2098"/>
      <c r="D4" s="2098"/>
      <c r="E4" s="2098"/>
      <c r="F4" s="2098"/>
      <c r="G4" s="2093" t="s">
        <v>2</v>
      </c>
      <c r="H4" s="2094"/>
      <c r="I4" s="2095"/>
      <c r="J4" s="2095"/>
      <c r="K4" s="2095"/>
      <c r="L4" s="2095"/>
      <c r="M4" s="2095"/>
      <c r="N4" s="2095"/>
      <c r="O4" s="2095"/>
      <c r="P4" s="2095"/>
      <c r="Q4" s="2095"/>
      <c r="R4" s="2095"/>
      <c r="S4" s="2095"/>
      <c r="T4" s="2095"/>
      <c r="U4" s="2095"/>
      <c r="V4" s="2096"/>
      <c r="W4" s="2109" t="s">
        <v>2948</v>
      </c>
      <c r="X4" s="2109"/>
      <c r="Y4" s="2111"/>
      <c r="Z4" s="2113" t="s">
        <v>1407</v>
      </c>
      <c r="AA4" s="2114"/>
      <c r="AB4" s="2114"/>
      <c r="AC4" s="2114"/>
      <c r="AD4" s="2114"/>
      <c r="AE4" s="2114"/>
      <c r="AF4" s="2119" t="s">
        <v>2964</v>
      </c>
      <c r="AG4" s="2120"/>
      <c r="AH4" s="2120"/>
      <c r="AI4" s="2120"/>
      <c r="AJ4" s="2120"/>
      <c r="AK4" s="2120"/>
      <c r="AL4" s="2120"/>
      <c r="AM4" s="2121"/>
      <c r="AN4" s="2124"/>
      <c r="AO4" s="2124"/>
      <c r="AP4" s="2124"/>
      <c r="AQ4" s="2124"/>
      <c r="AR4" s="2124"/>
      <c r="AS4" s="2125"/>
      <c r="AT4" s="2128" t="s">
        <v>6273</v>
      </c>
      <c r="AU4" s="2129"/>
      <c r="AV4" s="2129"/>
      <c r="AW4" s="2129"/>
      <c r="AX4" s="2129"/>
      <c r="AY4" s="2129"/>
      <c r="AZ4" s="2129"/>
      <c r="BA4" s="2129"/>
      <c r="BB4" s="2129"/>
      <c r="BC4" s="2129"/>
      <c r="BD4" s="2129"/>
      <c r="BE4" s="2129"/>
      <c r="BF4" s="2129"/>
      <c r="BG4" s="2129"/>
      <c r="BH4" s="1848"/>
      <c r="BI4" s="691"/>
      <c r="BJ4" s="1166"/>
    </row>
    <row r="5" spans="1:62" s="1137" customFormat="1" ht="30" customHeight="1" thickBot="1">
      <c r="A5" s="2099"/>
      <c r="B5" s="2100"/>
      <c r="C5" s="2100"/>
      <c r="D5" s="2100"/>
      <c r="E5" s="2100"/>
      <c r="F5" s="2100"/>
      <c r="G5" s="2104"/>
      <c r="H5" s="2105"/>
      <c r="I5" s="2106"/>
      <c r="J5" s="2106"/>
      <c r="K5" s="2106"/>
      <c r="L5" s="2106"/>
      <c r="M5" s="2106"/>
      <c r="N5" s="2106"/>
      <c r="O5" s="1238"/>
      <c r="P5" s="2107" t="s">
        <v>2956</v>
      </c>
      <c r="Q5" s="2108"/>
      <c r="R5" s="1736"/>
      <c r="S5" s="2101" t="s">
        <v>2951</v>
      </c>
      <c r="T5" s="2102"/>
      <c r="U5" s="2102"/>
      <c r="V5" s="2103"/>
      <c r="W5" s="2110"/>
      <c r="X5" s="2110"/>
      <c r="Y5" s="2112"/>
      <c r="Z5" s="2115"/>
      <c r="AA5" s="2116"/>
      <c r="AB5" s="2116"/>
      <c r="AC5" s="2116"/>
      <c r="AD5" s="2116"/>
      <c r="AE5" s="2116"/>
      <c r="AF5" s="1187"/>
      <c r="AG5" s="1188"/>
      <c r="AH5" s="1189"/>
      <c r="AI5" s="2122" t="s">
        <v>2965</v>
      </c>
      <c r="AJ5" s="2123"/>
      <c r="AK5" s="2023"/>
      <c r="AL5" s="2117" t="s">
        <v>4161</v>
      </c>
      <c r="AM5" s="2118"/>
      <c r="AN5" s="2126"/>
      <c r="AO5" s="2126"/>
      <c r="AP5" s="2126"/>
      <c r="AQ5" s="2126"/>
      <c r="AR5" s="2126"/>
      <c r="AS5" s="2127"/>
      <c r="AT5" s="1848"/>
      <c r="AU5" s="1848"/>
      <c r="AV5" s="1848"/>
      <c r="AW5" s="1848"/>
      <c r="AX5" s="1848"/>
      <c r="AY5" s="1848"/>
      <c r="AZ5" s="1848"/>
      <c r="BA5" s="1848"/>
      <c r="BB5" s="1848"/>
      <c r="BC5" s="1848"/>
      <c r="BD5" s="1848"/>
      <c r="BE5" s="1848"/>
      <c r="BF5" s="1848"/>
      <c r="BG5" s="1848"/>
      <c r="BH5" s="1848"/>
      <c r="BI5" s="1136"/>
      <c r="BJ5" s="1167"/>
    </row>
    <row r="6" spans="1:62" s="628" customFormat="1" ht="43.5" customHeight="1" thickTop="1" thickBot="1">
      <c r="A6" s="1168" t="s">
        <v>19</v>
      </c>
      <c r="B6" s="778" t="s">
        <v>1408</v>
      </c>
      <c r="C6" s="778" t="s">
        <v>3971</v>
      </c>
      <c r="D6" s="1791" t="s">
        <v>6017</v>
      </c>
      <c r="E6" s="524" t="s">
        <v>20</v>
      </c>
      <c r="F6" s="1138" t="s">
        <v>466</v>
      </c>
      <c r="G6" s="2012" t="s">
        <v>2856</v>
      </c>
      <c r="H6" s="1151" t="s">
        <v>21</v>
      </c>
      <c r="I6" s="1150" t="s">
        <v>1409</v>
      </c>
      <c r="J6" s="1149" t="s">
        <v>23</v>
      </c>
      <c r="K6" s="1149" t="s">
        <v>1410</v>
      </c>
      <c r="L6" s="1149"/>
      <c r="M6" s="1151" t="s">
        <v>2970</v>
      </c>
      <c r="N6" s="1151" t="s">
        <v>2961</v>
      </c>
      <c r="O6" s="1152" t="s">
        <v>1411</v>
      </c>
      <c r="P6" s="1153" t="s">
        <v>2949</v>
      </c>
      <c r="Q6" s="1153" t="s">
        <v>2950</v>
      </c>
      <c r="R6" s="1735" t="s">
        <v>5590</v>
      </c>
      <c r="S6" s="1154" t="s">
        <v>2952</v>
      </c>
      <c r="T6" s="1154" t="s">
        <v>2955</v>
      </c>
      <c r="U6" s="1155" t="s">
        <v>2953</v>
      </c>
      <c r="V6" s="1175" t="s">
        <v>2954</v>
      </c>
      <c r="W6" s="111" t="s">
        <v>1412</v>
      </c>
      <c r="X6" s="365" t="s">
        <v>2957</v>
      </c>
      <c r="Y6" s="1832" t="s">
        <v>1413</v>
      </c>
      <c r="Z6" s="51" t="s">
        <v>28</v>
      </c>
      <c r="AA6" s="51" t="s">
        <v>5667</v>
      </c>
      <c r="AB6" s="43" t="s">
        <v>1414</v>
      </c>
      <c r="AC6" s="51" t="s">
        <v>1415</v>
      </c>
      <c r="AD6" s="43" t="s">
        <v>2750</v>
      </c>
      <c r="AE6" s="108" t="s">
        <v>29</v>
      </c>
      <c r="AF6" s="1184" t="s">
        <v>1416</v>
      </c>
      <c r="AG6" s="1185" t="s">
        <v>1417</v>
      </c>
      <c r="AH6" s="1186" t="s">
        <v>1418</v>
      </c>
      <c r="AI6" s="1185" t="s">
        <v>2966</v>
      </c>
      <c r="AJ6" s="1539" t="s">
        <v>2967</v>
      </c>
      <c r="AK6" s="1539" t="s">
        <v>5802</v>
      </c>
      <c r="AL6" s="1539" t="s">
        <v>4162</v>
      </c>
      <c r="AM6" s="1540" t="s">
        <v>4163</v>
      </c>
      <c r="AN6" s="699" t="s">
        <v>4400</v>
      </c>
      <c r="AO6" s="154" t="s">
        <v>1420</v>
      </c>
      <c r="AP6" s="154" t="s">
        <v>1421</v>
      </c>
      <c r="AQ6" s="379" t="s">
        <v>1422</v>
      </c>
      <c r="AR6" s="2005" t="s">
        <v>6579</v>
      </c>
      <c r="AS6" s="931" t="s">
        <v>1423</v>
      </c>
      <c r="AT6" s="1434" t="s">
        <v>6274</v>
      </c>
      <c r="AU6" s="1434" t="s">
        <v>6288</v>
      </c>
      <c r="AV6" s="1434" t="s">
        <v>6275</v>
      </c>
      <c r="AW6" s="1434" t="s">
        <v>6282</v>
      </c>
      <c r="AX6" s="1434" t="s">
        <v>6276</v>
      </c>
      <c r="AY6" s="1434" t="s">
        <v>6278</v>
      </c>
      <c r="AZ6" s="1434" t="s">
        <v>6285</v>
      </c>
      <c r="BA6" s="1434" t="s">
        <v>6281</v>
      </c>
      <c r="BB6" s="1434" t="s">
        <v>6277</v>
      </c>
      <c r="BC6" s="1434" t="s">
        <v>6289</v>
      </c>
      <c r="BD6" s="1434" t="s">
        <v>6279</v>
      </c>
      <c r="BE6" s="1434" t="s">
        <v>6283</v>
      </c>
      <c r="BF6" s="1434" t="s">
        <v>6284</v>
      </c>
      <c r="BG6" s="1434" t="s">
        <v>6280</v>
      </c>
      <c r="BH6" s="1870" t="s">
        <v>6286</v>
      </c>
      <c r="BI6" s="690" t="s">
        <v>1425</v>
      </c>
      <c r="BJ6" s="14"/>
    </row>
    <row r="7" spans="1:62" s="723" customFormat="1" ht="27" hidden="1" customHeight="1" thickTop="1" thickBot="1">
      <c r="A7" s="1169"/>
      <c r="B7" s="724"/>
      <c r="C7" s="724"/>
      <c r="D7" s="724"/>
      <c r="E7" s="733"/>
      <c r="F7" s="1139"/>
      <c r="G7" s="1144"/>
      <c r="H7" s="1147"/>
      <c r="I7" s="1146"/>
      <c r="J7" s="1145"/>
      <c r="K7" s="1145"/>
      <c r="L7" s="1145"/>
      <c r="M7" s="1843"/>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1538"/>
      <c r="AM7" s="1541"/>
      <c r="AN7" s="708"/>
      <c r="AO7" s="708"/>
      <c r="AP7" s="708"/>
      <c r="AQ7" s="742"/>
      <c r="AR7" s="1538"/>
      <c r="AS7" s="742"/>
      <c r="AT7" s="742"/>
      <c r="AU7" s="742"/>
      <c r="AV7" s="742"/>
      <c r="AW7" s="742"/>
      <c r="AX7" s="742"/>
      <c r="AY7" s="742"/>
      <c r="AZ7" s="742"/>
      <c r="BA7" s="742"/>
      <c r="BB7" s="742"/>
      <c r="BC7" s="742"/>
      <c r="BD7" s="742"/>
      <c r="BE7" s="742"/>
      <c r="BF7" s="742"/>
      <c r="BG7" s="742"/>
      <c r="BH7" s="742"/>
      <c r="BI7" s="743"/>
      <c r="BJ7" s="737"/>
    </row>
    <row r="8" spans="1:62"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2958</v>
      </c>
      <c r="AD8" s="302" t="s">
        <v>2958</v>
      </c>
      <c r="AE8" s="298" t="str">
        <f>OBRA!Y6</f>
        <v>C. DANIEL RODRIGUEZ VALENZUELA</v>
      </c>
      <c r="AF8" s="791"/>
      <c r="AG8" s="303"/>
      <c r="AH8" s="298" t="e">
        <f t="shared" ref="AH8:AH71" si="0">X8/AF8</f>
        <v>#DIV/0!</v>
      </c>
      <c r="AI8" s="1157"/>
      <c r="AJ8" s="792"/>
      <c r="AK8" s="302"/>
      <c r="AL8" s="302"/>
      <c r="AM8" s="302"/>
      <c r="AN8" s="302"/>
      <c r="AO8" s="292"/>
      <c r="AP8" s="292"/>
      <c r="AQ8" s="292"/>
      <c r="AR8" s="302"/>
      <c r="AS8" s="793"/>
      <c r="AT8" s="302"/>
      <c r="AU8" s="302"/>
      <c r="AV8" s="302"/>
      <c r="AW8" s="302"/>
      <c r="AX8" s="302"/>
      <c r="AY8" s="302"/>
      <c r="AZ8" s="302"/>
      <c r="BA8" s="302"/>
      <c r="BB8" s="302"/>
      <c r="BC8" s="302"/>
      <c r="BD8" s="302"/>
      <c r="BE8" s="302"/>
      <c r="BF8" s="302"/>
      <c r="BG8" s="302"/>
      <c r="BH8" s="302"/>
      <c r="BI8" s="794"/>
      <c r="BJ8" s="299"/>
    </row>
    <row r="9" spans="1:62"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292"/>
      <c r="AP9" s="292"/>
      <c r="AQ9" s="292"/>
      <c r="AR9" s="516"/>
      <c r="AS9" s="564"/>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292"/>
      <c r="AP10" s="292"/>
      <c r="AQ10" s="292"/>
      <c r="AR10" s="516"/>
      <c r="AS10" s="564"/>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292"/>
      <c r="AP12" s="292"/>
      <c r="AQ12" s="292"/>
      <c r="AR12" s="516"/>
      <c r="AS12" s="564"/>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292"/>
      <c r="AP13" s="292"/>
      <c r="AQ13" s="292"/>
      <c r="AR13" s="516"/>
      <c r="AS13" s="564"/>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292"/>
      <c r="AP14" s="292"/>
      <c r="AQ14" s="292"/>
      <c r="AR14" s="516"/>
      <c r="AS14" s="564"/>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292"/>
      <c r="AP15" s="292"/>
      <c r="AQ15" s="292"/>
      <c r="AR15" s="516"/>
      <c r="AS15" s="564"/>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292"/>
      <c r="AP16" s="292"/>
      <c r="AQ16" s="292"/>
      <c r="AR16" s="516"/>
      <c r="AS16" s="564"/>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292"/>
      <c r="AP17" s="292"/>
      <c r="AQ17" s="292"/>
      <c r="AR17" s="516"/>
      <c r="AS17" s="564"/>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292"/>
      <c r="AP18" s="292"/>
      <c r="AQ18" s="292"/>
      <c r="AR18" s="516"/>
      <c r="AS18" s="564"/>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292"/>
      <c r="AP19" s="292"/>
      <c r="AQ19" s="292"/>
      <c r="AR19" s="516"/>
      <c r="AS19" s="564"/>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2958</v>
      </c>
      <c r="AD20" s="302" t="s">
        <v>2958</v>
      </c>
      <c r="AE20" s="298" t="str">
        <f>OBRA!Y18</f>
        <v>ING. RIGOBERTO OLMEDO RAMOS</v>
      </c>
      <c r="AF20" s="291"/>
      <c r="AG20" s="292"/>
      <c r="AH20" s="298" t="e">
        <f t="shared" si="0"/>
        <v>#DIV/0!</v>
      </c>
      <c r="AI20" s="292"/>
      <c r="AJ20" s="564"/>
      <c r="AK20" s="516"/>
      <c r="AL20" s="516"/>
      <c r="AM20" s="516"/>
      <c r="AN20" s="516"/>
      <c r="AO20" s="292"/>
      <c r="AP20" s="292"/>
      <c r="AQ20" s="292"/>
      <c r="AR20" s="516"/>
      <c r="AS20" s="564"/>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2958</v>
      </c>
      <c r="AD21" s="302" t="s">
        <v>2958</v>
      </c>
      <c r="AE21" s="298" t="str">
        <f>OBRA!Y19</f>
        <v>ING. RIGOBERTO OLMEDO RAMOS</v>
      </c>
      <c r="AF21" s="291"/>
      <c r="AG21" s="292"/>
      <c r="AH21" s="298" t="e">
        <f t="shared" si="0"/>
        <v>#DIV/0!</v>
      </c>
      <c r="AI21" s="292"/>
      <c r="AJ21" s="564"/>
      <c r="AK21" s="516"/>
      <c r="AL21" s="516"/>
      <c r="AM21" s="516"/>
      <c r="AN21" s="516"/>
      <c r="AO21" s="292"/>
      <c r="AP21" s="292"/>
      <c r="AQ21" s="292"/>
      <c r="AR21" s="516"/>
      <c r="AS21" s="564"/>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292"/>
      <c r="AP22" s="292"/>
      <c r="AQ22" s="292"/>
      <c r="AR22" s="516"/>
      <c r="AS22" s="564"/>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2958</v>
      </c>
      <c r="AD24" s="302" t="s">
        <v>2958</v>
      </c>
      <c r="AE24" s="298" t="str">
        <f>OBRA!Y22</f>
        <v>ING. ISER RANGEL REVILLA</v>
      </c>
      <c r="AF24" s="291"/>
      <c r="AG24" s="292"/>
      <c r="AH24" s="298" t="e">
        <f t="shared" si="0"/>
        <v>#DIV/0!</v>
      </c>
      <c r="AI24" s="292"/>
      <c r="AJ24" s="564"/>
      <c r="AK24" s="516"/>
      <c r="AL24" s="516"/>
      <c r="AM24" s="516"/>
      <c r="AN24" s="516"/>
      <c r="AO24" s="292"/>
      <c r="AP24" s="292"/>
      <c r="AQ24" s="292"/>
      <c r="AR24" s="516"/>
      <c r="AS24" s="564"/>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2958</v>
      </c>
      <c r="AD25" s="302" t="s">
        <v>2958</v>
      </c>
      <c r="AE25" s="298" t="str">
        <f>OBRA!Y23</f>
        <v>ING. ISER RANGEL REVILLA</v>
      </c>
      <c r="AF25" s="291"/>
      <c r="AG25" s="292"/>
      <c r="AH25" s="298" t="e">
        <f t="shared" si="0"/>
        <v>#DIV/0!</v>
      </c>
      <c r="AI25" s="292"/>
      <c r="AJ25" s="564"/>
      <c r="AK25" s="516"/>
      <c r="AL25" s="516"/>
      <c r="AM25" s="516"/>
      <c r="AN25" s="516"/>
      <c r="AO25" s="292"/>
      <c r="AP25" s="292"/>
      <c r="AQ25" s="292"/>
      <c r="AR25" s="516"/>
      <c r="AS25" s="564"/>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292"/>
      <c r="AP26" s="292"/>
      <c r="AQ26" s="292"/>
      <c r="AR26" s="516"/>
      <c r="AS26" s="564"/>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292"/>
      <c r="AP27" s="292"/>
      <c r="AQ27" s="292"/>
      <c r="AR27" s="516"/>
      <c r="AS27" s="564"/>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292"/>
      <c r="AP28" s="292"/>
      <c r="AQ28" s="292"/>
      <c r="AR28" s="516"/>
      <c r="AS28" s="564"/>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292"/>
      <c r="AP29" s="292"/>
      <c r="AQ29" s="292"/>
      <c r="AR29" s="516"/>
      <c r="AS29" s="564"/>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292"/>
      <c r="AP30" s="292"/>
      <c r="AQ30" s="292"/>
      <c r="AR30" s="516"/>
      <c r="AS30" s="564"/>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292"/>
      <c r="AP31" s="292"/>
      <c r="AQ31" s="292"/>
      <c r="AR31" s="516"/>
      <c r="AS31" s="564"/>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292"/>
      <c r="AP32" s="292"/>
      <c r="AQ32" s="292"/>
      <c r="AR32" s="516"/>
      <c r="AS32" s="564"/>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292"/>
      <c r="AP33" s="292"/>
      <c r="AQ33" s="292"/>
      <c r="AR33" s="516"/>
      <c r="AS33" s="564"/>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292"/>
      <c r="AP34" s="292"/>
      <c r="AQ34" s="292"/>
      <c r="AR34" s="516"/>
      <c r="AS34" s="564"/>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292"/>
      <c r="AP35" s="292"/>
      <c r="AQ35" s="292"/>
      <c r="AR35" s="516"/>
      <c r="AS35" s="564"/>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292"/>
      <c r="AP36" s="292"/>
      <c r="AQ36" s="292"/>
      <c r="AR36" s="516"/>
      <c r="AS36" s="564"/>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292"/>
      <c r="AP37" s="292"/>
      <c r="AQ37" s="292"/>
      <c r="AR37" s="516"/>
      <c r="AS37" s="564"/>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292"/>
      <c r="AP38" s="292"/>
      <c r="AQ38" s="292"/>
      <c r="AR38" s="516"/>
      <c r="AS38" s="564"/>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292"/>
      <c r="AP39" s="292"/>
      <c r="AQ39" s="292"/>
      <c r="AR39" s="516"/>
      <c r="AS39" s="564"/>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292"/>
      <c r="AP40" s="292"/>
      <c r="AQ40" s="292"/>
      <c r="AR40" s="516"/>
      <c r="AS40" s="564"/>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292"/>
      <c r="AP42" s="292"/>
      <c r="AQ42" s="292"/>
      <c r="AR42" s="516"/>
      <c r="AS42" s="564"/>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292"/>
      <c r="AP43" s="292"/>
      <c r="AQ43" s="292"/>
      <c r="AR43" s="516"/>
      <c r="AS43" s="564"/>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292"/>
      <c r="AP44" s="292"/>
      <c r="AQ44" s="292"/>
      <c r="AR44" s="516"/>
      <c r="AS44" s="564"/>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292"/>
      <c r="AP45" s="292"/>
      <c r="AQ45" s="292"/>
      <c r="AR45" s="516"/>
      <c r="AS45" s="564"/>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292"/>
      <c r="AP46" s="292"/>
      <c r="AQ46" s="292"/>
      <c r="AR46" s="516"/>
      <c r="AS46" s="564"/>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2958</v>
      </c>
      <c r="AD47" s="302" t="s">
        <v>2958</v>
      </c>
      <c r="AE47" s="298" t="str">
        <f>OBRA!Y45</f>
        <v>ING. ISER RANGEL REVILLA</v>
      </c>
      <c r="AF47" s="291"/>
      <c r="AG47" s="292"/>
      <c r="AH47" s="298" t="e">
        <f t="shared" si="0"/>
        <v>#DIV/0!</v>
      </c>
      <c r="AI47" s="292"/>
      <c r="AJ47" s="564"/>
      <c r="AK47" s="516"/>
      <c r="AL47" s="516"/>
      <c r="AM47" s="516"/>
      <c r="AN47" s="516"/>
      <c r="AO47" s="292"/>
      <c r="AP47" s="292"/>
      <c r="AQ47" s="292"/>
      <c r="AR47" s="516"/>
      <c r="AS47" s="564"/>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292"/>
      <c r="AP48" s="292"/>
      <c r="AQ48" s="292"/>
      <c r="AR48" s="516"/>
      <c r="AS48" s="564"/>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2958</v>
      </c>
      <c r="AD49" s="302" t="s">
        <v>2958</v>
      </c>
      <c r="AE49" s="298" t="str">
        <f>OBRA!Y47</f>
        <v>ING. ISER RANGEL REVILLA</v>
      </c>
      <c r="AF49" s="291"/>
      <c r="AG49" s="292"/>
      <c r="AH49" s="298" t="e">
        <f t="shared" si="0"/>
        <v>#DIV/0!</v>
      </c>
      <c r="AI49" s="292"/>
      <c r="AJ49" s="564"/>
      <c r="AK49" s="516"/>
      <c r="AL49" s="516"/>
      <c r="AM49" s="516"/>
      <c r="AN49" s="516"/>
      <c r="AO49" s="292"/>
      <c r="AP49" s="292"/>
      <c r="AQ49" s="292"/>
      <c r="AR49" s="516"/>
      <c r="AS49" s="564"/>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2958</v>
      </c>
      <c r="AD50" s="302" t="s">
        <v>2958</v>
      </c>
      <c r="AE50" s="298" t="str">
        <f>OBRA!Y48</f>
        <v>ARQ. JAIME CONDE GOMEZ</v>
      </c>
      <c r="AF50" s="291"/>
      <c r="AG50" s="292"/>
      <c r="AH50" s="298" t="e">
        <f t="shared" si="0"/>
        <v>#DIV/0!</v>
      </c>
      <c r="AI50" s="292"/>
      <c r="AJ50" s="564"/>
      <c r="AK50" s="516"/>
      <c r="AL50" s="516"/>
      <c r="AM50" s="516"/>
      <c r="AN50" s="516"/>
      <c r="AO50" s="292"/>
      <c r="AP50" s="292"/>
      <c r="AQ50" s="292"/>
      <c r="AR50" s="516"/>
      <c r="AS50" s="564"/>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2958</v>
      </c>
      <c r="AD51" s="302" t="s">
        <v>2958</v>
      </c>
      <c r="AE51" s="298" t="str">
        <f>OBRA!Y49</f>
        <v>ING. LUIS JOEL HUERTA LOMA</v>
      </c>
      <c r="AF51" s="291"/>
      <c r="AG51" s="292"/>
      <c r="AH51" s="298" t="e">
        <f t="shared" si="0"/>
        <v>#DIV/0!</v>
      </c>
      <c r="AI51" s="292"/>
      <c r="AJ51" s="564"/>
      <c r="AK51" s="516"/>
      <c r="AL51" s="516"/>
      <c r="AM51" s="516"/>
      <c r="AN51" s="516"/>
      <c r="AO51" s="292"/>
      <c r="AP51" s="292"/>
      <c r="AQ51" s="292"/>
      <c r="AR51" s="516"/>
      <c r="AS51" s="564"/>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292"/>
      <c r="AP52" s="292"/>
      <c r="AQ52" s="292"/>
      <c r="AR52" s="516"/>
      <c r="AS52" s="564"/>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2958</v>
      </c>
      <c r="AD53" s="302" t="s">
        <v>2958</v>
      </c>
      <c r="AE53" s="298" t="str">
        <f>OBRA!Y51</f>
        <v>C. DANIEL RODRIGUEZ VALENZUELA</v>
      </c>
      <c r="AF53" s="291"/>
      <c r="AG53" s="292"/>
      <c r="AH53" s="298" t="e">
        <f t="shared" si="0"/>
        <v>#DIV/0!</v>
      </c>
      <c r="AI53" s="292"/>
      <c r="AJ53" s="564"/>
      <c r="AK53" s="516"/>
      <c r="AL53" s="516"/>
      <c r="AM53" s="516"/>
      <c r="AN53" s="516"/>
      <c r="AO53" s="292"/>
      <c r="AP53" s="292"/>
      <c r="AQ53" s="292"/>
      <c r="AR53" s="516"/>
      <c r="AS53" s="564"/>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2958</v>
      </c>
      <c r="AD54" s="302" t="s">
        <v>2958</v>
      </c>
      <c r="AE54" s="298" t="str">
        <f>OBRA!Y52</f>
        <v>ARQ. JAIME CONDE GOMEZ</v>
      </c>
      <c r="AF54" s="291"/>
      <c r="AG54" s="292"/>
      <c r="AH54" s="298" t="e">
        <f t="shared" si="0"/>
        <v>#DIV/0!</v>
      </c>
      <c r="AI54" s="292"/>
      <c r="AJ54" s="564"/>
      <c r="AK54" s="516"/>
      <c r="AL54" s="516"/>
      <c r="AM54" s="516"/>
      <c r="AN54" s="516"/>
      <c r="AO54" s="292"/>
      <c r="AP54" s="292"/>
      <c r="AQ54" s="292"/>
      <c r="AR54" s="516"/>
      <c r="AS54" s="564"/>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292"/>
      <c r="AP55" s="292"/>
      <c r="AQ55" s="292"/>
      <c r="AR55" s="516"/>
      <c r="AS55" s="564"/>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292"/>
      <c r="AP56" s="292"/>
      <c r="AQ56" s="292"/>
      <c r="AR56" s="516"/>
      <c r="AS56" s="564"/>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292"/>
      <c r="AP57" s="292"/>
      <c r="AQ57" s="292"/>
      <c r="AR57" s="516"/>
      <c r="AS57" s="564"/>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292"/>
      <c r="AP58" s="292"/>
      <c r="AQ58" s="292"/>
      <c r="AR58" s="516"/>
      <c r="AS58" s="564"/>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292"/>
      <c r="AP59" s="292"/>
      <c r="AQ59" s="292"/>
      <c r="AR59" s="516"/>
      <c r="AS59" s="564"/>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2958</v>
      </c>
      <c r="AD61" s="302" t="s">
        <v>2958</v>
      </c>
      <c r="AE61" s="298" t="str">
        <f>OBRA!Y59</f>
        <v>C. DANIEL RODRIGUEZ VALENZUELA</v>
      </c>
      <c r="AF61" s="291"/>
      <c r="AG61" s="292"/>
      <c r="AH61" s="298" t="e">
        <f t="shared" si="0"/>
        <v>#DIV/0!</v>
      </c>
      <c r="AI61" s="292"/>
      <c r="AJ61" s="564"/>
      <c r="AK61" s="516"/>
      <c r="AL61" s="516"/>
      <c r="AM61" s="516"/>
      <c r="AN61" s="516"/>
      <c r="AO61" s="292"/>
      <c r="AP61" s="292"/>
      <c r="AQ61" s="292"/>
      <c r="AR61" s="516"/>
      <c r="AS61" s="564"/>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516"/>
      <c r="AT62" s="807"/>
      <c r="AU62" s="807"/>
      <c r="AV62" s="807"/>
      <c r="AW62" s="807"/>
      <c r="AX62" s="807"/>
      <c r="AY62" s="807"/>
      <c r="AZ62" s="807"/>
      <c r="BA62" s="807"/>
      <c r="BB62" s="807"/>
      <c r="BC62" s="807"/>
      <c r="BD62" s="807"/>
      <c r="BE62" s="807"/>
      <c r="BF62" s="807"/>
      <c r="BG62" s="807"/>
      <c r="BH62" s="807"/>
      <c r="BI62" s="807"/>
      <c r="BJ62" s="808"/>
    </row>
    <row r="63" spans="1:62"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292"/>
      <c r="AP63" s="292"/>
      <c r="AQ63" s="292"/>
      <c r="AR63" s="516"/>
      <c r="AS63" s="564"/>
      <c r="AT63" s="972"/>
      <c r="AU63" s="972"/>
      <c r="AV63" s="972"/>
      <c r="AW63" s="972"/>
      <c r="AX63" s="972"/>
      <c r="AY63" s="972"/>
      <c r="AZ63" s="972"/>
      <c r="BA63" s="972"/>
      <c r="BB63" s="972"/>
      <c r="BC63" s="972"/>
      <c r="BD63" s="972"/>
      <c r="BE63" s="972"/>
      <c r="BF63" s="972"/>
      <c r="BG63" s="972"/>
      <c r="BH63" s="972"/>
      <c r="BI63" s="796"/>
      <c r="BJ63" s="797"/>
    </row>
    <row r="64" spans="1:62"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292"/>
      <c r="AP64" s="292"/>
      <c r="AQ64" s="292"/>
      <c r="AR64" s="516"/>
      <c r="AS64" s="564"/>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292"/>
      <c r="AP65" s="292"/>
      <c r="AQ65" s="292"/>
      <c r="AR65" s="516"/>
      <c r="AS65" s="564"/>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422" t="s">
        <v>67</v>
      </c>
      <c r="AR70" s="515"/>
      <c r="AS70" s="515" t="s">
        <v>67</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422" t="s">
        <v>67</v>
      </c>
      <c r="AR71" s="515"/>
      <c r="AS71" s="515" t="s">
        <v>67</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818"/>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2958</v>
      </c>
      <c r="AD75" s="302" t="s">
        <v>2958</v>
      </c>
      <c r="AE75" s="298" t="str">
        <f>OBRA!Y73</f>
        <v>C. DANIEL RODRIGUEZ VALENZUELA</v>
      </c>
      <c r="AF75" s="291"/>
      <c r="AG75" s="292"/>
      <c r="AH75" s="298" t="e">
        <f t="shared" si="2"/>
        <v>#DIV/0!</v>
      </c>
      <c r="AI75" s="292"/>
      <c r="AJ75" s="564"/>
      <c r="AK75" s="516"/>
      <c r="AL75" s="516"/>
      <c r="AM75" s="516"/>
      <c r="AN75" s="516"/>
      <c r="AO75" s="292"/>
      <c r="AP75" s="292"/>
      <c r="AQ75" s="292"/>
      <c r="AR75" s="516"/>
      <c r="AS75" s="564"/>
      <c r="AT75" s="972"/>
      <c r="AU75" s="972"/>
      <c r="AV75" s="972"/>
      <c r="AW75" s="972"/>
      <c r="AX75" s="972"/>
      <c r="AY75" s="972"/>
      <c r="AZ75" s="972"/>
      <c r="BA75" s="972"/>
      <c r="BB75" s="972"/>
      <c r="BC75" s="972"/>
      <c r="BD75" s="972"/>
      <c r="BE75" s="972"/>
      <c r="BF75" s="972"/>
      <c r="BG75" s="972"/>
      <c r="BH75" s="972"/>
      <c r="BI75" s="798"/>
      <c r="BJ75" s="299"/>
    </row>
    <row r="76" spans="1:62"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292"/>
      <c r="AP76" s="292"/>
      <c r="AQ76" s="292"/>
      <c r="AR76" s="516"/>
      <c r="AS76" s="564"/>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292"/>
      <c r="AP77" s="292"/>
      <c r="AQ77" s="292"/>
      <c r="AR77" s="516"/>
      <c r="AS77" s="564"/>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292"/>
      <c r="AP78" s="292"/>
      <c r="AQ78" s="292"/>
      <c r="AR78" s="516"/>
      <c r="AS78" s="564"/>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292"/>
      <c r="AP79" s="292"/>
      <c r="AQ79" s="453" t="s">
        <v>1430</v>
      </c>
      <c r="AR79" s="492"/>
      <c r="AS79" s="564" t="s">
        <v>1431</v>
      </c>
      <c r="AT79" s="516"/>
      <c r="AU79" s="516"/>
      <c r="AV79" s="516"/>
      <c r="AW79" s="516"/>
      <c r="AX79" s="516"/>
      <c r="AY79" s="516"/>
      <c r="AZ79" s="516"/>
      <c r="BA79" s="516"/>
      <c r="BB79" s="516"/>
      <c r="BC79" s="516"/>
      <c r="BD79" s="516"/>
      <c r="BE79" s="516"/>
      <c r="BF79" s="516"/>
      <c r="BG79" s="516"/>
      <c r="BH79" s="516"/>
      <c r="BI79" s="440" t="s">
        <v>550</v>
      </c>
      <c r="BJ79" s="299"/>
    </row>
    <row r="80" spans="1:62"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292"/>
      <c r="AP80" s="292"/>
      <c r="AQ80" s="453" t="s">
        <v>1432</v>
      </c>
      <c r="AR80" s="492"/>
      <c r="AS80" s="564" t="s">
        <v>1431</v>
      </c>
      <c r="AT80" s="516"/>
      <c r="AU80" s="516"/>
      <c r="AV80" s="516"/>
      <c r="AW80" s="516"/>
      <c r="AX80" s="516"/>
      <c r="AY80" s="516"/>
      <c r="AZ80" s="516"/>
      <c r="BA80" s="516"/>
      <c r="BB80" s="516"/>
      <c r="BC80" s="516"/>
      <c r="BD80" s="516"/>
      <c r="BE80" s="516"/>
      <c r="BF80" s="516"/>
      <c r="BG80" s="516"/>
      <c r="BH80" s="516"/>
      <c r="BI80" s="440" t="s">
        <v>550</v>
      </c>
      <c r="BJ80" s="299"/>
    </row>
    <row r="81" spans="1:62"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292"/>
      <c r="AP81" s="292"/>
      <c r="AQ81" s="292"/>
      <c r="AR81" s="516"/>
      <c r="AS81" s="564"/>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292"/>
      <c r="AP82" s="292"/>
      <c r="AQ82" s="292"/>
      <c r="AR82" s="516"/>
      <c r="AS82" s="564"/>
      <c r="AT82" s="302"/>
      <c r="AU82" s="302"/>
      <c r="AV82" s="302"/>
      <c r="AW82" s="302"/>
      <c r="AX82" s="302"/>
      <c r="AY82" s="302"/>
      <c r="AZ82" s="302"/>
      <c r="BA82" s="302"/>
      <c r="BB82" s="302"/>
      <c r="BC82" s="302"/>
      <c r="BD82" s="302"/>
      <c r="BE82" s="302"/>
      <c r="BF82" s="302"/>
      <c r="BG82" s="302"/>
      <c r="BH82" s="302"/>
      <c r="BI82" s="794"/>
      <c r="BJ82" s="299"/>
    </row>
    <row r="83" spans="1:62"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292"/>
      <c r="AP83" s="292"/>
      <c r="AQ83" s="292"/>
      <c r="AR83" s="516"/>
      <c r="AS83" s="564"/>
      <c r="AT83" s="807"/>
      <c r="AU83" s="807"/>
      <c r="AV83" s="807"/>
      <c r="AW83" s="807"/>
      <c r="AX83" s="807"/>
      <c r="AY83" s="807"/>
      <c r="AZ83" s="807"/>
      <c r="BA83" s="807"/>
      <c r="BB83" s="807"/>
      <c r="BC83" s="807"/>
      <c r="BD83" s="807"/>
      <c r="BE83" s="807"/>
      <c r="BF83" s="807"/>
      <c r="BG83" s="807"/>
      <c r="BH83" s="807"/>
      <c r="BI83" s="799"/>
      <c r="BJ83" s="299"/>
    </row>
    <row r="84" spans="1:62"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292"/>
      <c r="AP84" s="292"/>
      <c r="AQ84" s="453" t="s">
        <v>1433</v>
      </c>
      <c r="AR84" s="492"/>
      <c r="AS84" s="800" t="s">
        <v>1434</v>
      </c>
      <c r="AT84" s="492"/>
      <c r="AU84" s="492"/>
      <c r="AV84" s="492"/>
      <c r="AW84" s="492"/>
      <c r="AX84" s="492"/>
      <c r="AY84" s="492"/>
      <c r="AZ84" s="492"/>
      <c r="BA84" s="492"/>
      <c r="BB84" s="492"/>
      <c r="BC84" s="492"/>
      <c r="BD84" s="492"/>
      <c r="BE84" s="492"/>
      <c r="BF84" s="492"/>
      <c r="BG84" s="492"/>
      <c r="BH84" s="492"/>
      <c r="BI84" s="440" t="s">
        <v>550</v>
      </c>
      <c r="BJ84" s="299"/>
    </row>
    <row r="85" spans="1:62"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292"/>
      <c r="AP85" s="292"/>
      <c r="AQ85" s="292"/>
      <c r="AR85" s="516"/>
      <c r="AS85" s="564"/>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292"/>
      <c r="AP86" s="292"/>
      <c r="AQ86" s="292"/>
      <c r="AR86" s="516"/>
      <c r="AS86" s="564"/>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292"/>
      <c r="AP87" s="292"/>
      <c r="AQ87" s="292"/>
      <c r="AR87" s="516"/>
      <c r="AS87" s="564"/>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292"/>
      <c r="AP88" s="292"/>
      <c r="AQ88" s="292"/>
      <c r="AR88" s="516"/>
      <c r="AS88" s="564"/>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292"/>
      <c r="AP89" s="292"/>
      <c r="AQ89" s="453" t="s">
        <v>1435</v>
      </c>
      <c r="AR89" s="492"/>
      <c r="AS89" s="800" t="s">
        <v>1436</v>
      </c>
      <c r="AT89" s="492"/>
      <c r="AU89" s="492"/>
      <c r="AV89" s="492"/>
      <c r="AW89" s="492"/>
      <c r="AX89" s="492"/>
      <c r="AY89" s="492"/>
      <c r="AZ89" s="492"/>
      <c r="BA89" s="492"/>
      <c r="BB89" s="492"/>
      <c r="BC89" s="492"/>
      <c r="BD89" s="492"/>
      <c r="BE89" s="492"/>
      <c r="BF89" s="492"/>
      <c r="BG89" s="492"/>
      <c r="BH89" s="492"/>
      <c r="BI89" s="448" t="s">
        <v>550</v>
      </c>
      <c r="BJ89" s="299"/>
    </row>
    <row r="90" spans="1:62"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2958</v>
      </c>
      <c r="AD90" s="302" t="s">
        <v>2958</v>
      </c>
      <c r="AE90" s="298" t="str">
        <f>OBRA!Y88</f>
        <v>C. DANIEL RODRIGUEZ VALENZUELA</v>
      </c>
      <c r="AF90" s="291"/>
      <c r="AG90" s="292"/>
      <c r="AH90" s="298" t="e">
        <f t="shared" si="2"/>
        <v>#DIV/0!</v>
      </c>
      <c r="AI90" s="292"/>
      <c r="AJ90" s="564"/>
      <c r="AK90" s="516"/>
      <c r="AL90" s="516"/>
      <c r="AM90" s="516"/>
      <c r="AN90" s="516"/>
      <c r="AO90" s="292"/>
      <c r="AP90" s="292"/>
      <c r="AQ90" s="292"/>
      <c r="AR90" s="516"/>
      <c r="AS90" s="564"/>
      <c r="AT90" s="807"/>
      <c r="AU90" s="807"/>
      <c r="AV90" s="807"/>
      <c r="AW90" s="807"/>
      <c r="AX90" s="807"/>
      <c r="AY90" s="807"/>
      <c r="AZ90" s="807"/>
      <c r="BA90" s="807"/>
      <c r="BB90" s="807"/>
      <c r="BC90" s="807"/>
      <c r="BD90" s="807"/>
      <c r="BE90" s="807"/>
      <c r="BF90" s="807"/>
      <c r="BG90" s="807"/>
      <c r="BH90" s="807"/>
      <c r="BI90" s="799"/>
      <c r="BJ90" s="299"/>
    </row>
    <row r="91" spans="1:62"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292"/>
      <c r="AP91" s="292"/>
      <c r="AQ91" s="292"/>
      <c r="AR91" s="516"/>
      <c r="AS91" s="564"/>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292"/>
      <c r="AP92" s="292"/>
      <c r="AQ92" s="292"/>
      <c r="AR92" s="516"/>
      <c r="AS92" s="564"/>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492"/>
      <c r="AO97" s="292" t="s">
        <v>67</v>
      </c>
      <c r="AP97" s="292" t="s">
        <v>67</v>
      </c>
      <c r="AQ97" s="292" t="s">
        <v>67</v>
      </c>
      <c r="AR97" s="516"/>
      <c r="AS97" s="802" t="s">
        <v>1444</v>
      </c>
      <c r="AT97" s="457"/>
      <c r="AU97" s="457"/>
      <c r="AV97" s="457"/>
      <c r="AW97" s="457"/>
      <c r="AX97" s="457"/>
      <c r="AY97" s="457"/>
      <c r="AZ97" s="457"/>
      <c r="BA97" s="457"/>
      <c r="BB97" s="457"/>
      <c r="BC97" s="457"/>
      <c r="BD97" s="457"/>
      <c r="BE97" s="457"/>
      <c r="BF97" s="457"/>
      <c r="BG97" s="457"/>
      <c r="BH97" s="457"/>
      <c r="BI97" s="440" t="s">
        <v>550</v>
      </c>
      <c r="BJ97" s="299"/>
    </row>
    <row r="98" spans="1:62"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492"/>
      <c r="AO98" s="292" t="s">
        <v>67</v>
      </c>
      <c r="AP98" s="292" t="s">
        <v>67</v>
      </c>
      <c r="AQ98" s="292" t="s">
        <v>67</v>
      </c>
      <c r="AR98" s="516"/>
      <c r="AS98" s="802" t="s">
        <v>1452</v>
      </c>
      <c r="AT98" s="457"/>
      <c r="AU98" s="457"/>
      <c r="AV98" s="457"/>
      <c r="AW98" s="457"/>
      <c r="AX98" s="457"/>
      <c r="AY98" s="457"/>
      <c r="AZ98" s="457"/>
      <c r="BA98" s="457"/>
      <c r="BB98" s="457"/>
      <c r="BC98" s="457"/>
      <c r="BD98" s="457"/>
      <c r="BE98" s="457"/>
      <c r="BF98" s="457"/>
      <c r="BG98" s="457"/>
      <c r="BH98" s="457"/>
      <c r="BI98" s="440" t="s">
        <v>550</v>
      </c>
      <c r="BJ98" s="299"/>
    </row>
    <row r="99" spans="1:62"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492"/>
      <c r="AO99" s="292" t="s">
        <v>67</v>
      </c>
      <c r="AP99" s="453" t="s">
        <v>1458</v>
      </c>
      <c r="AQ99" s="292" t="s">
        <v>67</v>
      </c>
      <c r="AR99" s="302"/>
      <c r="AS99" s="1158" t="s">
        <v>1459</v>
      </c>
      <c r="AT99" s="442"/>
      <c r="AU99" s="442"/>
      <c r="AV99" s="442"/>
      <c r="AW99" s="442"/>
      <c r="AX99" s="442"/>
      <c r="AY99" s="442"/>
      <c r="AZ99" s="442"/>
      <c r="BA99" s="442"/>
      <c r="BB99" s="442"/>
      <c r="BC99" s="442"/>
      <c r="BD99" s="442"/>
      <c r="BE99" s="442"/>
      <c r="BF99" s="442"/>
      <c r="BG99" s="442"/>
      <c r="BH99" s="442"/>
      <c r="BI99" s="440" t="s">
        <v>550</v>
      </c>
      <c r="BJ99" s="299"/>
    </row>
    <row r="100" spans="1:62"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492"/>
      <c r="AO100" s="292" t="s">
        <v>67</v>
      </c>
      <c r="AP100" s="292" t="s">
        <v>67</v>
      </c>
      <c r="AQ100" s="453" t="s">
        <v>1463</v>
      </c>
      <c r="AR100" s="492"/>
      <c r="AS100" s="802" t="s">
        <v>1464</v>
      </c>
      <c r="AT100" s="457"/>
      <c r="AU100" s="457"/>
      <c r="AV100" s="457"/>
      <c r="AW100" s="457"/>
      <c r="AX100" s="457"/>
      <c r="AY100" s="457"/>
      <c r="AZ100" s="457"/>
      <c r="BA100" s="457"/>
      <c r="BB100" s="457"/>
      <c r="BC100" s="457"/>
      <c r="BD100" s="457"/>
      <c r="BE100" s="457"/>
      <c r="BF100" s="457"/>
      <c r="BG100" s="457"/>
      <c r="BH100" s="457"/>
      <c r="BI100" s="440" t="s">
        <v>550</v>
      </c>
      <c r="BJ100" s="299"/>
    </row>
    <row r="101" spans="1:62"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492"/>
      <c r="AO101" s="292" t="s">
        <v>67</v>
      </c>
      <c r="AP101" s="292" t="s">
        <v>67</v>
      </c>
      <c r="AQ101" s="453" t="s">
        <v>1468</v>
      </c>
      <c r="AR101" s="492"/>
      <c r="AS101" s="802" t="s">
        <v>1469</v>
      </c>
      <c r="AT101" s="457"/>
      <c r="AU101" s="457"/>
      <c r="AV101" s="457"/>
      <c r="AW101" s="457"/>
      <c r="AX101" s="457"/>
      <c r="AY101" s="457"/>
      <c r="AZ101" s="457"/>
      <c r="BA101" s="457"/>
      <c r="BB101" s="457"/>
      <c r="BC101" s="457"/>
      <c r="BD101" s="457"/>
      <c r="BE101" s="457"/>
      <c r="BF101" s="457"/>
      <c r="BG101" s="457"/>
      <c r="BH101" s="457"/>
      <c r="BI101" s="440" t="s">
        <v>550</v>
      </c>
      <c r="BJ101" s="299"/>
    </row>
    <row r="102" spans="1:62"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492"/>
      <c r="AO102" s="292" t="s">
        <v>67</v>
      </c>
      <c r="AP102" s="292" t="s">
        <v>67</v>
      </c>
      <c r="AQ102" s="453" t="s">
        <v>1471</v>
      </c>
      <c r="AR102" s="492"/>
      <c r="AS102" s="802" t="s">
        <v>1472</v>
      </c>
      <c r="AT102" s="457"/>
      <c r="AU102" s="457"/>
      <c r="AV102" s="457"/>
      <c r="AW102" s="457"/>
      <c r="AX102" s="457"/>
      <c r="AY102" s="457"/>
      <c r="AZ102" s="457"/>
      <c r="BA102" s="457"/>
      <c r="BB102" s="457"/>
      <c r="BC102" s="457"/>
      <c r="BD102" s="457"/>
      <c r="BE102" s="457"/>
      <c r="BF102" s="457"/>
      <c r="BG102" s="457"/>
      <c r="BH102" s="457"/>
      <c r="BI102" s="440" t="s">
        <v>550</v>
      </c>
      <c r="BJ102" s="299"/>
    </row>
    <row r="103" spans="1:62"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492"/>
      <c r="AO103" s="292" t="s">
        <v>67</v>
      </c>
      <c r="AP103" s="292" t="s">
        <v>67</v>
      </c>
      <c r="AQ103" s="453" t="s">
        <v>1476</v>
      </c>
      <c r="AR103" s="492"/>
      <c r="AS103" s="802" t="s">
        <v>1477</v>
      </c>
      <c r="AT103" s="457"/>
      <c r="AU103" s="457"/>
      <c r="AV103" s="457"/>
      <c r="AW103" s="457"/>
      <c r="AX103" s="457"/>
      <c r="AY103" s="457"/>
      <c r="AZ103" s="457"/>
      <c r="BA103" s="457"/>
      <c r="BB103" s="457"/>
      <c r="BC103" s="457"/>
      <c r="BD103" s="457"/>
      <c r="BE103" s="457"/>
      <c r="BF103" s="457"/>
      <c r="BG103" s="457"/>
      <c r="BH103" s="457"/>
      <c r="BI103" s="440" t="s">
        <v>550</v>
      </c>
      <c r="BJ103" s="299"/>
    </row>
    <row r="104" spans="1:62"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492"/>
      <c r="AO105" s="292" t="s">
        <v>67</v>
      </c>
      <c r="AP105" s="292" t="s">
        <v>67</v>
      </c>
      <c r="AQ105" s="871" t="s">
        <v>67</v>
      </c>
      <c r="AR105" s="973"/>
      <c r="AS105" s="1159" t="s">
        <v>67</v>
      </c>
      <c r="AT105" s="973"/>
      <c r="AU105" s="973"/>
      <c r="AV105" s="973"/>
      <c r="AW105" s="973"/>
      <c r="AX105" s="973"/>
      <c r="AY105" s="973"/>
      <c r="AZ105" s="973"/>
      <c r="BA105" s="973"/>
      <c r="BB105" s="973"/>
      <c r="BC105" s="973"/>
      <c r="BD105" s="973"/>
      <c r="BE105" s="973"/>
      <c r="BF105" s="973"/>
      <c r="BG105" s="973"/>
      <c r="BH105" s="973"/>
      <c r="BI105" s="440" t="s">
        <v>1480</v>
      </c>
      <c r="BJ105" s="299"/>
    </row>
    <row r="106" spans="1:62"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492"/>
      <c r="AO106" s="292" t="s">
        <v>67</v>
      </c>
      <c r="AP106" s="292" t="s">
        <v>67</v>
      </c>
      <c r="AQ106" s="439" t="s">
        <v>1483</v>
      </c>
      <c r="AR106" s="974"/>
      <c r="AS106" s="1160" t="s">
        <v>1484</v>
      </c>
      <c r="AT106" s="974"/>
      <c r="AU106" s="974"/>
      <c r="AV106" s="974"/>
      <c r="AW106" s="974"/>
      <c r="AX106" s="974"/>
      <c r="AY106" s="974"/>
      <c r="AZ106" s="974"/>
      <c r="BA106" s="974"/>
      <c r="BB106" s="974"/>
      <c r="BC106" s="974"/>
      <c r="BD106" s="974"/>
      <c r="BE106" s="974"/>
      <c r="BF106" s="974"/>
      <c r="BG106" s="974"/>
      <c r="BH106" s="974"/>
      <c r="BI106" s="440" t="s">
        <v>550</v>
      </c>
      <c r="BJ106" s="299"/>
    </row>
    <row r="107" spans="1:62"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492"/>
      <c r="AO107" s="292" t="s">
        <v>67</v>
      </c>
      <c r="AP107" s="292" t="s">
        <v>67</v>
      </c>
      <c r="AQ107" s="439" t="s">
        <v>1486</v>
      </c>
      <c r="AR107" s="974"/>
      <c r="AS107" s="1160" t="s">
        <v>1487</v>
      </c>
      <c r="AT107" s="974"/>
      <c r="AU107" s="974"/>
      <c r="AV107" s="974"/>
      <c r="AW107" s="974"/>
      <c r="AX107" s="974"/>
      <c r="AY107" s="974"/>
      <c r="AZ107" s="974"/>
      <c r="BA107" s="974"/>
      <c r="BB107" s="974"/>
      <c r="BC107" s="974"/>
      <c r="BD107" s="974"/>
      <c r="BE107" s="974"/>
      <c r="BF107" s="974"/>
      <c r="BG107" s="974"/>
      <c r="BH107" s="974"/>
      <c r="BI107" s="440" t="s">
        <v>550</v>
      </c>
      <c r="BJ107" s="299"/>
    </row>
    <row r="108" spans="1:62"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492"/>
      <c r="AO108" s="292" t="s">
        <v>67</v>
      </c>
      <c r="AP108" s="292" t="s">
        <v>67</v>
      </c>
      <c r="AQ108" s="466" t="s">
        <v>1488</v>
      </c>
      <c r="AR108" s="457"/>
      <c r="AS108" s="802" t="s">
        <v>1489</v>
      </c>
      <c r="AT108" s="457"/>
      <c r="AU108" s="457"/>
      <c r="AV108" s="457"/>
      <c r="AW108" s="457"/>
      <c r="AX108" s="457"/>
      <c r="AY108" s="457"/>
      <c r="AZ108" s="457"/>
      <c r="BA108" s="457"/>
      <c r="BB108" s="457"/>
      <c r="BC108" s="457"/>
      <c r="BD108" s="457"/>
      <c r="BE108" s="457"/>
      <c r="BF108" s="457"/>
      <c r="BG108" s="457"/>
      <c r="BH108" s="457"/>
      <c r="BI108" s="440" t="s">
        <v>550</v>
      </c>
      <c r="BJ108" s="299"/>
    </row>
    <row r="109" spans="1:62"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492"/>
      <c r="AO109" s="292" t="s">
        <v>67</v>
      </c>
      <c r="AP109" s="292" t="s">
        <v>67</v>
      </c>
      <c r="AQ109" s="466" t="s">
        <v>1491</v>
      </c>
      <c r="AR109" s="457"/>
      <c r="AS109" s="802" t="s">
        <v>1492</v>
      </c>
      <c r="AT109" s="457"/>
      <c r="AU109" s="457"/>
      <c r="AV109" s="457"/>
      <c r="AW109" s="457"/>
      <c r="AX109" s="457"/>
      <c r="AY109" s="457"/>
      <c r="AZ109" s="457"/>
      <c r="BA109" s="457"/>
      <c r="BB109" s="457"/>
      <c r="BC109" s="457"/>
      <c r="BD109" s="457"/>
      <c r="BE109" s="457"/>
      <c r="BF109" s="457"/>
      <c r="BG109" s="457"/>
      <c r="BH109" s="457"/>
      <c r="BI109" s="440" t="s">
        <v>550</v>
      </c>
      <c r="BJ109" s="299"/>
    </row>
    <row r="110" spans="1:62"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492"/>
      <c r="AO110" s="292" t="s">
        <v>67</v>
      </c>
      <c r="AP110" s="292" t="s">
        <v>67</v>
      </c>
      <c r="AQ110" s="466" t="s">
        <v>1494</v>
      </c>
      <c r="AR110" s="457"/>
      <c r="AS110" s="802" t="s">
        <v>1495</v>
      </c>
      <c r="AT110" s="457"/>
      <c r="AU110" s="457"/>
      <c r="AV110" s="457"/>
      <c r="AW110" s="457"/>
      <c r="AX110" s="457"/>
      <c r="AY110" s="457"/>
      <c r="AZ110" s="457"/>
      <c r="BA110" s="457"/>
      <c r="BB110" s="457"/>
      <c r="BC110" s="457"/>
      <c r="BD110" s="457"/>
      <c r="BE110" s="457"/>
      <c r="BF110" s="457"/>
      <c r="BG110" s="457"/>
      <c r="BH110" s="457"/>
      <c r="BI110" s="440" t="s">
        <v>550</v>
      </c>
      <c r="BJ110" s="299"/>
    </row>
    <row r="111" spans="1:62"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492"/>
      <c r="AO111" s="292" t="s">
        <v>67</v>
      </c>
      <c r="AP111" s="292" t="s">
        <v>67</v>
      </c>
      <c r="AQ111" s="466" t="s">
        <v>1497</v>
      </c>
      <c r="AR111" s="1934"/>
      <c r="AS111" s="456" t="s">
        <v>1498</v>
      </c>
      <c r="AT111" s="457"/>
      <c r="AU111" s="457"/>
      <c r="AV111" s="457"/>
      <c r="AW111" s="457"/>
      <c r="AX111" s="457"/>
      <c r="AY111" s="457"/>
      <c r="AZ111" s="457"/>
      <c r="BA111" s="457"/>
      <c r="BB111" s="457"/>
      <c r="BC111" s="457"/>
      <c r="BD111" s="457"/>
      <c r="BE111" s="457"/>
      <c r="BF111" s="457"/>
      <c r="BG111" s="457"/>
      <c r="BH111" s="457"/>
      <c r="BI111" s="440" t="s">
        <v>550</v>
      </c>
      <c r="BJ111" s="299"/>
    </row>
    <row r="112" spans="1:62"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492"/>
      <c r="AO112" s="292" t="s">
        <v>67</v>
      </c>
      <c r="AP112" s="292" t="s">
        <v>67</v>
      </c>
      <c r="AQ112" s="466" t="s">
        <v>1500</v>
      </c>
      <c r="AR112" s="1934"/>
      <c r="AS112" s="456" t="s">
        <v>1501</v>
      </c>
      <c r="AT112" s="457"/>
      <c r="AU112" s="457"/>
      <c r="AV112" s="457"/>
      <c r="AW112" s="457"/>
      <c r="AX112" s="457"/>
      <c r="AY112" s="457"/>
      <c r="AZ112" s="457"/>
      <c r="BA112" s="457"/>
      <c r="BB112" s="457"/>
      <c r="BC112" s="457"/>
      <c r="BD112" s="457"/>
      <c r="BE112" s="457"/>
      <c r="BF112" s="457"/>
      <c r="BG112" s="457"/>
      <c r="BH112" s="457"/>
      <c r="BI112" s="440" t="s">
        <v>550</v>
      </c>
      <c r="BJ112" s="299"/>
    </row>
    <row r="113" spans="1:62"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492"/>
      <c r="AO113" s="292" t="s">
        <v>67</v>
      </c>
      <c r="AP113" s="292" t="s">
        <v>67</v>
      </c>
      <c r="AQ113" s="439" t="s">
        <v>1502</v>
      </c>
      <c r="AR113" s="1935"/>
      <c r="AS113" s="803" t="s">
        <v>1503</v>
      </c>
      <c r="AT113" s="974"/>
      <c r="AU113" s="974"/>
      <c r="AV113" s="974"/>
      <c r="AW113" s="974"/>
      <c r="AX113" s="974"/>
      <c r="AY113" s="974"/>
      <c r="AZ113" s="974"/>
      <c r="BA113" s="974"/>
      <c r="BB113" s="974"/>
      <c r="BC113" s="974"/>
      <c r="BD113" s="974"/>
      <c r="BE113" s="974"/>
      <c r="BF113" s="974"/>
      <c r="BG113" s="974"/>
      <c r="BH113" s="974"/>
      <c r="BI113" s="440" t="s">
        <v>550</v>
      </c>
      <c r="BJ113" s="299"/>
    </row>
    <row r="114" spans="1:62"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492"/>
      <c r="AO114" s="292" t="s">
        <v>67</v>
      </c>
      <c r="AP114" s="292" t="s">
        <v>67</v>
      </c>
      <c r="AQ114" s="439" t="s">
        <v>1505</v>
      </c>
      <c r="AR114" s="1935"/>
      <c r="AS114" s="803" t="s">
        <v>1506</v>
      </c>
      <c r="AT114" s="974"/>
      <c r="AU114" s="974"/>
      <c r="AV114" s="974"/>
      <c r="AW114" s="974"/>
      <c r="AX114" s="974"/>
      <c r="AY114" s="974"/>
      <c r="AZ114" s="974"/>
      <c r="BA114" s="974"/>
      <c r="BB114" s="974"/>
      <c r="BC114" s="974"/>
      <c r="BD114" s="974"/>
      <c r="BE114" s="974"/>
      <c r="BF114" s="974"/>
      <c r="BG114" s="974"/>
      <c r="BH114" s="974"/>
      <c r="BI114" s="440" t="s">
        <v>550</v>
      </c>
      <c r="BJ114" s="299"/>
    </row>
    <row r="115" spans="1:62"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492"/>
      <c r="AO115" s="292" t="s">
        <v>67</v>
      </c>
      <c r="AP115" s="292" t="s">
        <v>67</v>
      </c>
      <c r="AQ115" s="439" t="s">
        <v>1507</v>
      </c>
      <c r="AR115" s="1935"/>
      <c r="AS115" s="803" t="s">
        <v>1508</v>
      </c>
      <c r="AT115" s="974"/>
      <c r="AU115" s="974"/>
      <c r="AV115" s="974"/>
      <c r="AW115" s="974"/>
      <c r="AX115" s="974"/>
      <c r="AY115" s="974"/>
      <c r="AZ115" s="974"/>
      <c r="BA115" s="974"/>
      <c r="BB115" s="974"/>
      <c r="BC115" s="974"/>
      <c r="BD115" s="974"/>
      <c r="BE115" s="974"/>
      <c r="BF115" s="974"/>
      <c r="BG115" s="974"/>
      <c r="BH115" s="974"/>
      <c r="BI115" s="440" t="s">
        <v>550</v>
      </c>
      <c r="BJ115" s="299"/>
    </row>
    <row r="116" spans="1:62"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492"/>
      <c r="AO116" s="292" t="s">
        <v>67</v>
      </c>
      <c r="AP116" s="292" t="s">
        <v>67</v>
      </c>
      <c r="AQ116" s="439" t="s">
        <v>1510</v>
      </c>
      <c r="AR116" s="1935"/>
      <c r="AS116" s="803" t="s">
        <v>1511</v>
      </c>
      <c r="AT116" s="974"/>
      <c r="AU116" s="974"/>
      <c r="AV116" s="974"/>
      <c r="AW116" s="974"/>
      <c r="AX116" s="974"/>
      <c r="AY116" s="974"/>
      <c r="AZ116" s="974"/>
      <c r="BA116" s="974"/>
      <c r="BB116" s="974"/>
      <c r="BC116" s="974"/>
      <c r="BD116" s="974"/>
      <c r="BE116" s="974"/>
      <c r="BF116" s="974"/>
      <c r="BG116" s="974"/>
      <c r="BH116" s="974"/>
      <c r="BI116" s="440" t="s">
        <v>550</v>
      </c>
      <c r="BJ116" s="299"/>
    </row>
    <row r="117" spans="1:62"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492"/>
      <c r="AO117" s="292" t="s">
        <v>67</v>
      </c>
      <c r="AP117" s="292" t="s">
        <v>67</v>
      </c>
      <c r="AQ117" s="439" t="s">
        <v>1513</v>
      </c>
      <c r="AR117" s="1935"/>
      <c r="AS117" s="803" t="s">
        <v>1514</v>
      </c>
      <c r="AT117" s="974"/>
      <c r="AU117" s="974"/>
      <c r="AV117" s="974"/>
      <c r="AW117" s="974"/>
      <c r="AX117" s="974"/>
      <c r="AY117" s="974"/>
      <c r="AZ117" s="974"/>
      <c r="BA117" s="974"/>
      <c r="BB117" s="974"/>
      <c r="BC117" s="974"/>
      <c r="BD117" s="974"/>
      <c r="BE117" s="974"/>
      <c r="BF117" s="974"/>
      <c r="BG117" s="974"/>
      <c r="BH117" s="974"/>
      <c r="BI117" s="440" t="s">
        <v>550</v>
      </c>
      <c r="BJ117" s="299"/>
    </row>
    <row r="118" spans="1:62"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492"/>
      <c r="AO118" s="292" t="s">
        <v>67</v>
      </c>
      <c r="AP118" s="292" t="s">
        <v>67</v>
      </c>
      <c r="AQ118" s="466" t="s">
        <v>1515</v>
      </c>
      <c r="AR118" s="1934"/>
      <c r="AS118" s="872" t="s">
        <v>67</v>
      </c>
      <c r="AT118" s="973"/>
      <c r="AU118" s="973"/>
      <c r="AV118" s="973"/>
      <c r="AW118" s="973"/>
      <c r="AX118" s="973"/>
      <c r="AY118" s="973"/>
      <c r="AZ118" s="973"/>
      <c r="BA118" s="973"/>
      <c r="BB118" s="973"/>
      <c r="BC118" s="973"/>
      <c r="BD118" s="973"/>
      <c r="BE118" s="973"/>
      <c r="BF118" s="973"/>
      <c r="BG118" s="973"/>
      <c r="BH118" s="973"/>
      <c r="BI118" s="440" t="s">
        <v>1480</v>
      </c>
      <c r="BJ118" s="299"/>
    </row>
    <row r="119" spans="1:62"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492"/>
      <c r="AO119" s="292" t="s">
        <v>67</v>
      </c>
      <c r="AP119" s="292" t="s">
        <v>67</v>
      </c>
      <c r="AQ119" s="439" t="s">
        <v>1517</v>
      </c>
      <c r="AR119" s="1935"/>
      <c r="AS119" s="456" t="s">
        <v>1518</v>
      </c>
      <c r="AT119" s="457"/>
      <c r="AU119" s="457"/>
      <c r="AV119" s="457"/>
      <c r="AW119" s="457"/>
      <c r="AX119" s="457"/>
      <c r="AY119" s="457"/>
      <c r="AZ119" s="457"/>
      <c r="BA119" s="457"/>
      <c r="BB119" s="457"/>
      <c r="BC119" s="457"/>
      <c r="BD119" s="457"/>
      <c r="BE119" s="457"/>
      <c r="BF119" s="457"/>
      <c r="BG119" s="457"/>
      <c r="BH119" s="457"/>
      <c r="BI119" s="440" t="s">
        <v>550</v>
      </c>
      <c r="BJ119" s="299"/>
    </row>
    <row r="120" spans="1:62"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492"/>
      <c r="AO120" s="292" t="s">
        <v>67</v>
      </c>
      <c r="AP120" s="292" t="s">
        <v>67</v>
      </c>
      <c r="AQ120" s="439" t="s">
        <v>1519</v>
      </c>
      <c r="AR120" s="1935"/>
      <c r="AS120" s="803" t="s">
        <v>1520</v>
      </c>
      <c r="AT120" s="974"/>
      <c r="AU120" s="974"/>
      <c r="AV120" s="974"/>
      <c r="AW120" s="974"/>
      <c r="AX120" s="974"/>
      <c r="AY120" s="974"/>
      <c r="AZ120" s="974"/>
      <c r="BA120" s="974"/>
      <c r="BB120" s="974"/>
      <c r="BC120" s="974"/>
      <c r="BD120" s="974"/>
      <c r="BE120" s="974"/>
      <c r="BF120" s="974"/>
      <c r="BG120" s="974"/>
      <c r="BH120" s="974"/>
      <c r="BI120" s="440" t="s">
        <v>550</v>
      </c>
      <c r="BJ120" s="299"/>
    </row>
    <row r="121" spans="1:62"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492"/>
      <c r="AO121" s="292" t="s">
        <v>67</v>
      </c>
      <c r="AP121" s="292" t="s">
        <v>67</v>
      </c>
      <c r="AQ121" s="453" t="s">
        <v>1526</v>
      </c>
      <c r="AR121" s="492"/>
      <c r="AS121" s="802" t="s">
        <v>1527</v>
      </c>
      <c r="AT121" s="975"/>
      <c r="AU121" s="975"/>
      <c r="AV121" s="975"/>
      <c r="AW121" s="975"/>
      <c r="AX121" s="975"/>
      <c r="AY121" s="975"/>
      <c r="AZ121" s="975"/>
      <c r="BA121" s="975"/>
      <c r="BB121" s="975"/>
      <c r="BC121" s="975"/>
      <c r="BD121" s="975"/>
      <c r="BE121" s="975"/>
      <c r="BF121" s="975"/>
      <c r="BG121" s="975"/>
      <c r="BH121" s="975"/>
      <c r="BI121" s="798" t="s">
        <v>550</v>
      </c>
      <c r="BJ121" s="299"/>
    </row>
    <row r="122" spans="1:62"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492"/>
      <c r="AO122" s="292" t="s">
        <v>67</v>
      </c>
      <c r="AP122" s="292" t="s">
        <v>67</v>
      </c>
      <c r="AQ122" s="439" t="s">
        <v>1529</v>
      </c>
      <c r="AR122" s="1935"/>
      <c r="AS122" s="803" t="s">
        <v>1530</v>
      </c>
      <c r="AT122" s="974"/>
      <c r="AU122" s="974"/>
      <c r="AV122" s="974"/>
      <c r="AW122" s="974"/>
      <c r="AX122" s="974"/>
      <c r="AY122" s="974"/>
      <c r="AZ122" s="974"/>
      <c r="BA122" s="974"/>
      <c r="BB122" s="974"/>
      <c r="BC122" s="974"/>
      <c r="BD122" s="974"/>
      <c r="BE122" s="974"/>
      <c r="BF122" s="974"/>
      <c r="BG122" s="974"/>
      <c r="BH122" s="974"/>
      <c r="BI122" s="440" t="s">
        <v>550</v>
      </c>
      <c r="BJ122" s="299"/>
    </row>
    <row r="123" spans="1:62"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492"/>
      <c r="AO123" s="292" t="s">
        <v>67</v>
      </c>
      <c r="AP123" s="292" t="s">
        <v>67</v>
      </c>
      <c r="AQ123" s="439" t="s">
        <v>1532</v>
      </c>
      <c r="AR123" s="1935"/>
      <c r="AS123" s="803" t="s">
        <v>1533</v>
      </c>
      <c r="AT123" s="974"/>
      <c r="AU123" s="974"/>
      <c r="AV123" s="974"/>
      <c r="AW123" s="974"/>
      <c r="AX123" s="974"/>
      <c r="AY123" s="974"/>
      <c r="AZ123" s="974"/>
      <c r="BA123" s="974"/>
      <c r="BB123" s="974"/>
      <c r="BC123" s="974"/>
      <c r="BD123" s="974"/>
      <c r="BE123" s="974"/>
      <c r="BF123" s="974"/>
      <c r="BG123" s="974"/>
      <c r="BH123" s="974"/>
      <c r="BI123" s="440" t="s">
        <v>550</v>
      </c>
      <c r="BJ123" s="299"/>
    </row>
    <row r="124" spans="1:62"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492"/>
      <c r="AO124" s="292" t="s">
        <v>67</v>
      </c>
      <c r="AP124" s="292" t="s">
        <v>67</v>
      </c>
      <c r="AQ124" s="466" t="s">
        <v>1534</v>
      </c>
      <c r="AR124" s="1934"/>
      <c r="AS124" s="456" t="s">
        <v>1535</v>
      </c>
      <c r="AT124" s="457"/>
      <c r="AU124" s="457"/>
      <c r="AV124" s="457"/>
      <c r="AW124" s="457"/>
      <c r="AX124" s="457"/>
      <c r="AY124" s="457"/>
      <c r="AZ124" s="457"/>
      <c r="BA124" s="457"/>
      <c r="BB124" s="457"/>
      <c r="BC124" s="457"/>
      <c r="BD124" s="457"/>
      <c r="BE124" s="457"/>
      <c r="BF124" s="457"/>
      <c r="BG124" s="457"/>
      <c r="BH124" s="457"/>
      <c r="BI124" s="440" t="s">
        <v>550</v>
      </c>
      <c r="BJ124" s="299"/>
    </row>
    <row r="125" spans="1:62"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492"/>
      <c r="AO125" s="292" t="s">
        <v>67</v>
      </c>
      <c r="AP125" s="292" t="s">
        <v>67</v>
      </c>
      <c r="AQ125" s="466" t="s">
        <v>1537</v>
      </c>
      <c r="AR125" s="1934"/>
      <c r="AS125" s="456" t="s">
        <v>1538</v>
      </c>
      <c r="AT125" s="457"/>
      <c r="AU125" s="457"/>
      <c r="AV125" s="457"/>
      <c r="AW125" s="457"/>
      <c r="AX125" s="457"/>
      <c r="AY125" s="457"/>
      <c r="AZ125" s="457"/>
      <c r="BA125" s="457"/>
      <c r="BB125" s="457"/>
      <c r="BC125" s="457"/>
      <c r="BD125" s="457"/>
      <c r="BE125" s="457"/>
      <c r="BF125" s="457"/>
      <c r="BG125" s="457"/>
      <c r="BH125" s="457"/>
      <c r="BI125" s="440" t="s">
        <v>550</v>
      </c>
      <c r="BJ125" s="299"/>
    </row>
    <row r="126" spans="1:62"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492"/>
      <c r="AO126" s="292" t="s">
        <v>67</v>
      </c>
      <c r="AP126" s="292" t="s">
        <v>67</v>
      </c>
      <c r="AQ126" s="466" t="s">
        <v>1540</v>
      </c>
      <c r="AR126" s="1934"/>
      <c r="AS126" s="456" t="s">
        <v>1541</v>
      </c>
      <c r="AT126" s="457"/>
      <c r="AU126" s="457"/>
      <c r="AV126" s="457"/>
      <c r="AW126" s="457"/>
      <c r="AX126" s="457"/>
      <c r="AY126" s="457"/>
      <c r="AZ126" s="457"/>
      <c r="BA126" s="457"/>
      <c r="BB126" s="457"/>
      <c r="BC126" s="457"/>
      <c r="BD126" s="457"/>
      <c r="BE126" s="457"/>
      <c r="BF126" s="457"/>
      <c r="BG126" s="457"/>
      <c r="BH126" s="457"/>
      <c r="BI126" s="440" t="s">
        <v>550</v>
      </c>
      <c r="BJ126" s="299"/>
    </row>
    <row r="127" spans="1:62"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492"/>
      <c r="AO127" s="292" t="s">
        <v>67</v>
      </c>
      <c r="AP127" s="292" t="s">
        <v>67</v>
      </c>
      <c r="AQ127" s="439" t="s">
        <v>1543</v>
      </c>
      <c r="AR127" s="1935"/>
      <c r="AS127" s="803" t="s">
        <v>1544</v>
      </c>
      <c r="AT127" s="974"/>
      <c r="AU127" s="974"/>
      <c r="AV127" s="974"/>
      <c r="AW127" s="974"/>
      <c r="AX127" s="974"/>
      <c r="AY127" s="974"/>
      <c r="AZ127" s="974"/>
      <c r="BA127" s="974"/>
      <c r="BB127" s="974"/>
      <c r="BC127" s="974"/>
      <c r="BD127" s="974"/>
      <c r="BE127" s="974"/>
      <c r="BF127" s="974"/>
      <c r="BG127" s="974"/>
      <c r="BH127" s="974"/>
      <c r="BI127" s="440" t="s">
        <v>550</v>
      </c>
      <c r="BJ127" s="299"/>
    </row>
    <row r="128" spans="1:62"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492"/>
      <c r="AO128" s="292" t="s">
        <v>67</v>
      </c>
      <c r="AP128" s="292" t="s">
        <v>67</v>
      </c>
      <c r="AQ128" s="439" t="s">
        <v>1547</v>
      </c>
      <c r="AR128" s="1935"/>
      <c r="AS128" s="803" t="s">
        <v>1549</v>
      </c>
      <c r="AT128" s="974"/>
      <c r="AU128" s="974"/>
      <c r="AV128" s="974"/>
      <c r="AW128" s="974"/>
      <c r="AX128" s="974"/>
      <c r="AY128" s="974"/>
      <c r="AZ128" s="974"/>
      <c r="BA128" s="974"/>
      <c r="BB128" s="974"/>
      <c r="BC128" s="974"/>
      <c r="BD128" s="974"/>
      <c r="BE128" s="974"/>
      <c r="BF128" s="974"/>
      <c r="BG128" s="974"/>
      <c r="BH128" s="974"/>
      <c r="BI128" s="440" t="s">
        <v>550</v>
      </c>
      <c r="BJ128" s="299"/>
    </row>
    <row r="129" spans="1:62"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492"/>
      <c r="AO129" s="292" t="s">
        <v>67</v>
      </c>
      <c r="AP129" s="292" t="s">
        <v>67</v>
      </c>
      <c r="AQ129" s="439" t="s">
        <v>1552</v>
      </c>
      <c r="AR129" s="1935"/>
      <c r="AS129" s="803" t="s">
        <v>1553</v>
      </c>
      <c r="AT129" s="974"/>
      <c r="AU129" s="974"/>
      <c r="AV129" s="974"/>
      <c r="AW129" s="974"/>
      <c r="AX129" s="974"/>
      <c r="AY129" s="974"/>
      <c r="AZ129" s="974"/>
      <c r="BA129" s="974"/>
      <c r="BB129" s="974"/>
      <c r="BC129" s="974"/>
      <c r="BD129" s="974"/>
      <c r="BE129" s="974"/>
      <c r="BF129" s="974"/>
      <c r="BG129" s="974"/>
      <c r="BH129" s="974"/>
      <c r="BI129" s="440" t="s">
        <v>550</v>
      </c>
      <c r="BJ129" s="299"/>
    </row>
    <row r="130" spans="1:62"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492"/>
      <c r="AO130" s="292" t="s">
        <v>67</v>
      </c>
      <c r="AP130" s="292" t="s">
        <v>67</v>
      </c>
      <c r="AQ130" s="439" t="s">
        <v>1555</v>
      </c>
      <c r="AR130" s="1935"/>
      <c r="AS130" s="803" t="s">
        <v>1556</v>
      </c>
      <c r="AT130" s="974"/>
      <c r="AU130" s="974"/>
      <c r="AV130" s="974"/>
      <c r="AW130" s="974"/>
      <c r="AX130" s="974"/>
      <c r="AY130" s="974"/>
      <c r="AZ130" s="974"/>
      <c r="BA130" s="974"/>
      <c r="BB130" s="974"/>
      <c r="BC130" s="974"/>
      <c r="BD130" s="974"/>
      <c r="BE130" s="974"/>
      <c r="BF130" s="974"/>
      <c r="BG130" s="974"/>
      <c r="BH130" s="974"/>
      <c r="BI130" s="440" t="s">
        <v>550</v>
      </c>
      <c r="BJ130" s="299"/>
    </row>
    <row r="131" spans="1:62"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492"/>
      <c r="AO131" s="292" t="s">
        <v>67</v>
      </c>
      <c r="AP131" s="292" t="s">
        <v>67</v>
      </c>
      <c r="AQ131" s="466" t="s">
        <v>1559</v>
      </c>
      <c r="AR131" s="1934"/>
      <c r="AS131" s="456" t="s">
        <v>1560</v>
      </c>
      <c r="AT131" s="457"/>
      <c r="AU131" s="457"/>
      <c r="AV131" s="457"/>
      <c r="AW131" s="457"/>
      <c r="AX131" s="457"/>
      <c r="AY131" s="457"/>
      <c r="AZ131" s="457"/>
      <c r="BA131" s="457"/>
      <c r="BB131" s="457"/>
      <c r="BC131" s="457"/>
      <c r="BD131" s="457"/>
      <c r="BE131" s="457"/>
      <c r="BF131" s="457"/>
      <c r="BG131" s="457"/>
      <c r="BH131" s="457"/>
      <c r="BI131" s="440" t="s">
        <v>1480</v>
      </c>
      <c r="BJ131" s="299"/>
    </row>
    <row r="132" spans="1:62"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492"/>
      <c r="AO132" s="292" t="s">
        <v>67</v>
      </c>
      <c r="AP132" s="292" t="s">
        <v>67</v>
      </c>
      <c r="AQ132" s="805" t="s">
        <v>67</v>
      </c>
      <c r="AR132" s="1936"/>
      <c r="AS132" s="806" t="s">
        <v>67</v>
      </c>
      <c r="AT132" s="976"/>
      <c r="AU132" s="976"/>
      <c r="AV132" s="976"/>
      <c r="AW132" s="976"/>
      <c r="AX132" s="976"/>
      <c r="AY132" s="976"/>
      <c r="AZ132" s="976"/>
      <c r="BA132" s="976"/>
      <c r="BB132" s="976"/>
      <c r="BC132" s="976"/>
      <c r="BD132" s="976"/>
      <c r="BE132" s="976"/>
      <c r="BF132" s="976"/>
      <c r="BG132" s="976"/>
      <c r="BH132" s="976"/>
      <c r="BI132" s="440" t="s">
        <v>1480</v>
      </c>
      <c r="BJ132" s="299"/>
    </row>
    <row r="133" spans="1:62"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494"/>
      <c r="AO133" s="2" t="s">
        <v>67</v>
      </c>
      <c r="AP133" s="2" t="s">
        <v>67</v>
      </c>
      <c r="AQ133" s="467" t="s">
        <v>1559</v>
      </c>
      <c r="AR133" s="1319"/>
      <c r="AS133" s="694" t="s">
        <v>1560</v>
      </c>
      <c r="AT133" s="786"/>
      <c r="AU133" s="786"/>
      <c r="AV133" s="786"/>
      <c r="AW133" s="786"/>
      <c r="AX133" s="786"/>
      <c r="AY133" s="786"/>
      <c r="AZ133" s="786"/>
      <c r="BA133" s="786"/>
      <c r="BB133" s="786"/>
      <c r="BC133" s="786"/>
      <c r="BD133" s="786"/>
      <c r="BE133" s="786"/>
      <c r="BF133" s="786"/>
      <c r="BG133" s="786"/>
      <c r="BH133" s="786"/>
      <c r="BI133" s="413" t="s">
        <v>550</v>
      </c>
      <c r="BJ133" s="12"/>
    </row>
    <row r="134" spans="1:62"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494"/>
      <c r="AO134" s="2" t="s">
        <v>67</v>
      </c>
      <c r="AP134" s="2" t="s">
        <v>67</v>
      </c>
      <c r="AQ134" s="467" t="s">
        <v>1565</v>
      </c>
      <c r="AR134" s="1319"/>
      <c r="AS134" s="692" t="s">
        <v>1566</v>
      </c>
      <c r="AT134" s="785"/>
      <c r="AU134" s="785"/>
      <c r="AV134" s="785"/>
      <c r="AW134" s="785"/>
      <c r="AX134" s="785"/>
      <c r="AY134" s="785"/>
      <c r="AZ134" s="785"/>
      <c r="BA134" s="785"/>
      <c r="BB134" s="785"/>
      <c r="BC134" s="785"/>
      <c r="BD134" s="785"/>
      <c r="BE134" s="785"/>
      <c r="BF134" s="785"/>
      <c r="BG134" s="785"/>
      <c r="BH134" s="785"/>
      <c r="BI134" s="413" t="s">
        <v>550</v>
      </c>
      <c r="BJ134" s="12"/>
    </row>
    <row r="135" spans="1:62"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787"/>
      <c r="AR135" s="787"/>
      <c r="AS135" s="505"/>
      <c r="AT135" s="977"/>
      <c r="AU135" s="977"/>
      <c r="AV135" s="977"/>
      <c r="AW135" s="977"/>
      <c r="AX135" s="977"/>
      <c r="AY135" s="977"/>
      <c r="AZ135" s="977"/>
      <c r="BA135" s="977"/>
      <c r="BB135" s="977"/>
      <c r="BC135" s="977"/>
      <c r="BD135" s="977"/>
      <c r="BE135" s="977"/>
      <c r="BF135" s="977"/>
      <c r="BG135" s="977"/>
      <c r="BH135" s="977"/>
      <c r="BI135" s="146"/>
      <c r="BJ135" s="12"/>
    </row>
    <row r="136" spans="1:62"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494"/>
      <c r="AO136" s="2" t="s">
        <v>67</v>
      </c>
      <c r="AP136" s="2" t="s">
        <v>67</v>
      </c>
      <c r="AQ136" s="496" t="s">
        <v>1574</v>
      </c>
      <c r="AR136" s="1535"/>
      <c r="AS136" s="589" t="s">
        <v>1575</v>
      </c>
      <c r="AT136" s="978"/>
      <c r="AU136" s="978"/>
      <c r="AV136" s="978"/>
      <c r="AW136" s="978"/>
      <c r="AX136" s="978"/>
      <c r="AY136" s="978"/>
      <c r="AZ136" s="978"/>
      <c r="BA136" s="978"/>
      <c r="BB136" s="978"/>
      <c r="BC136" s="978"/>
      <c r="BD136" s="978"/>
      <c r="BE136" s="978"/>
      <c r="BF136" s="978"/>
      <c r="BG136" s="978"/>
      <c r="BH136" s="978"/>
      <c r="BI136" s="33" t="s">
        <v>550</v>
      </c>
      <c r="BJ136" s="12"/>
    </row>
    <row r="137" spans="1:62"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819"/>
      <c r="AR137" s="819"/>
      <c r="AS137" s="817"/>
      <c r="AT137" s="979"/>
      <c r="AU137" s="979"/>
      <c r="AV137" s="979"/>
      <c r="AW137" s="979"/>
      <c r="AX137" s="979"/>
      <c r="AY137" s="979"/>
      <c r="AZ137" s="979"/>
      <c r="BA137" s="979"/>
      <c r="BB137" s="979"/>
      <c r="BC137" s="979"/>
      <c r="BD137" s="979"/>
      <c r="BE137" s="979"/>
      <c r="BF137" s="979"/>
      <c r="BG137" s="979"/>
      <c r="BH137" s="979"/>
      <c r="BI137" s="531"/>
      <c r="BJ137" s="103"/>
    </row>
    <row r="138" spans="1:62"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785"/>
      <c r="AO138" s="785" t="s">
        <v>1580</v>
      </c>
      <c r="AP138" s="785" t="s">
        <v>1581</v>
      </c>
      <c r="AQ138" s="467" t="s">
        <v>1582</v>
      </c>
      <c r="AR138" s="1319"/>
      <c r="AS138" s="692" t="s">
        <v>1583</v>
      </c>
      <c r="AT138" s="785"/>
      <c r="AU138" s="785"/>
      <c r="AV138" s="785"/>
      <c r="AW138" s="785"/>
      <c r="AX138" s="785"/>
      <c r="AY138" s="785"/>
      <c r="AZ138" s="785"/>
      <c r="BA138" s="785"/>
      <c r="BB138" s="785"/>
      <c r="BC138" s="785"/>
      <c r="BD138" s="785"/>
      <c r="BE138" s="785"/>
      <c r="BF138" s="785"/>
      <c r="BG138" s="785"/>
      <c r="BH138" s="785"/>
      <c r="BI138" s="413" t="s">
        <v>550</v>
      </c>
      <c r="BJ138" s="12"/>
    </row>
    <row r="139" spans="1:62"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2616</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785"/>
      <c r="AO139" s="532"/>
      <c r="AP139" s="532"/>
      <c r="AQ139" s="790" t="s">
        <v>67</v>
      </c>
      <c r="AR139" s="1937"/>
      <c r="AS139" s="692" t="s">
        <v>1586</v>
      </c>
      <c r="AT139" s="785"/>
      <c r="AU139" s="785"/>
      <c r="AV139" s="785"/>
      <c r="AW139" s="785"/>
      <c r="AX139" s="785"/>
      <c r="AY139" s="785"/>
      <c r="AZ139" s="785"/>
      <c r="BA139" s="785"/>
      <c r="BB139" s="785"/>
      <c r="BC139" s="785"/>
      <c r="BD139" s="785"/>
      <c r="BE139" s="785"/>
      <c r="BF139" s="785"/>
      <c r="BG139" s="785"/>
      <c r="BH139" s="785"/>
      <c r="BI139" s="413" t="s">
        <v>1480</v>
      </c>
      <c r="BJ139" s="12"/>
    </row>
    <row r="140" spans="1:62"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2541</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785"/>
      <c r="AO140" s="532"/>
      <c r="AP140" s="532"/>
      <c r="AQ140" s="505" t="s">
        <v>1589</v>
      </c>
      <c r="AR140" s="1938"/>
      <c r="AS140" s="694" t="s">
        <v>1590</v>
      </c>
      <c r="AT140" s="786"/>
      <c r="AU140" s="786"/>
      <c r="AV140" s="786"/>
      <c r="AW140" s="786"/>
      <c r="AX140" s="786"/>
      <c r="AY140" s="786"/>
      <c r="AZ140" s="786"/>
      <c r="BA140" s="786"/>
      <c r="BB140" s="786"/>
      <c r="BC140" s="786"/>
      <c r="BD140" s="786"/>
      <c r="BE140" s="786"/>
      <c r="BF140" s="786"/>
      <c r="BG140" s="786"/>
      <c r="BH140" s="786"/>
      <c r="BI140" s="413" t="s">
        <v>550</v>
      </c>
      <c r="BJ140" s="12"/>
    </row>
    <row r="141" spans="1:62"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785"/>
      <c r="AO141" s="785" t="s">
        <v>1593</v>
      </c>
      <c r="AP141" s="785" t="s">
        <v>1594</v>
      </c>
      <c r="AQ141" s="467" t="s">
        <v>1595</v>
      </c>
      <c r="AR141" s="1319"/>
      <c r="AS141" s="692" t="s">
        <v>1596</v>
      </c>
      <c r="AT141" s="785"/>
      <c r="AU141" s="785"/>
      <c r="AV141" s="785"/>
      <c r="AW141" s="785"/>
      <c r="AX141" s="785"/>
      <c r="AY141" s="785"/>
      <c r="AZ141" s="785"/>
      <c r="BA141" s="785"/>
      <c r="BB141" s="785"/>
      <c r="BC141" s="785"/>
      <c r="BD141" s="785"/>
      <c r="BE141" s="785"/>
      <c r="BF141" s="785"/>
      <c r="BG141" s="785"/>
      <c r="BH141" s="785"/>
      <c r="BI141" s="413" t="s">
        <v>550</v>
      </c>
      <c r="BJ141" s="12"/>
    </row>
    <row r="142" spans="1:62"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785"/>
      <c r="AO142" s="785" t="s">
        <v>1598</v>
      </c>
      <c r="AP142" s="785" t="s">
        <v>1599</v>
      </c>
      <c r="AQ142" s="467" t="s">
        <v>1600</v>
      </c>
      <c r="AR142" s="1319"/>
      <c r="AS142" s="692" t="s">
        <v>1601</v>
      </c>
      <c r="AT142" s="785"/>
      <c r="AU142" s="785"/>
      <c r="AV142" s="785"/>
      <c r="AW142" s="785"/>
      <c r="AX142" s="785"/>
      <c r="AY142" s="785"/>
      <c r="AZ142" s="785"/>
      <c r="BA142" s="785"/>
      <c r="BB142" s="785"/>
      <c r="BC142" s="785"/>
      <c r="BD142" s="785"/>
      <c r="BE142" s="785"/>
      <c r="BF142" s="785"/>
      <c r="BG142" s="785"/>
      <c r="BH142" s="785"/>
      <c r="BI142" s="413" t="s">
        <v>550</v>
      </c>
      <c r="BJ142" s="12"/>
    </row>
    <row r="143" spans="1:62"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785"/>
      <c r="AO143" s="785" t="s">
        <v>1602</v>
      </c>
      <c r="AP143" s="785" t="s">
        <v>1603</v>
      </c>
      <c r="AQ143" s="467" t="s">
        <v>1604</v>
      </c>
      <c r="AR143" s="1319"/>
      <c r="AS143" s="692" t="s">
        <v>1605</v>
      </c>
      <c r="AT143" s="785"/>
      <c r="AU143" s="785"/>
      <c r="AV143" s="785"/>
      <c r="AW143" s="785"/>
      <c r="AX143" s="785"/>
      <c r="AY143" s="785"/>
      <c r="AZ143" s="785"/>
      <c r="BA143" s="785"/>
      <c r="BB143" s="785"/>
      <c r="BC143" s="785"/>
      <c r="BD143" s="785"/>
      <c r="BE143" s="785"/>
      <c r="BF143" s="785"/>
      <c r="BG143" s="785"/>
      <c r="BH143" s="785"/>
      <c r="BI143" s="413" t="s">
        <v>550</v>
      </c>
      <c r="BJ143" s="12"/>
    </row>
    <row r="144" spans="1:62"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2509</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785"/>
      <c r="AO144" s="532"/>
      <c r="AP144" s="532"/>
      <c r="AQ144" s="467" t="s">
        <v>1608</v>
      </c>
      <c r="AR144" s="1319"/>
      <c r="AS144" s="692" t="s">
        <v>1609</v>
      </c>
      <c r="AT144" s="785"/>
      <c r="AU144" s="785"/>
      <c r="AV144" s="785"/>
      <c r="AW144" s="785"/>
      <c r="AX144" s="785"/>
      <c r="AY144" s="785"/>
      <c r="AZ144" s="785"/>
      <c r="BA144" s="785"/>
      <c r="BB144" s="785"/>
      <c r="BC144" s="785"/>
      <c r="BD144" s="785"/>
      <c r="BE144" s="785"/>
      <c r="BF144" s="785"/>
      <c r="BG144" s="785"/>
      <c r="BH144" s="785"/>
      <c r="BI144" s="413" t="s">
        <v>550</v>
      </c>
      <c r="BJ144" s="12"/>
    </row>
    <row r="145" spans="1:62"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2541</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785"/>
      <c r="AO145" s="785" t="s">
        <v>1610</v>
      </c>
      <c r="AP145" s="785" t="s">
        <v>1611</v>
      </c>
      <c r="AQ145" s="467" t="s">
        <v>1612</v>
      </c>
      <c r="AR145" s="1319"/>
      <c r="AS145" s="692" t="s">
        <v>1613</v>
      </c>
      <c r="AT145" s="785"/>
      <c r="AU145" s="785"/>
      <c r="AV145" s="785"/>
      <c r="AW145" s="785"/>
      <c r="AX145" s="785"/>
      <c r="AY145" s="785"/>
      <c r="AZ145" s="785"/>
      <c r="BA145" s="785"/>
      <c r="BB145" s="785"/>
      <c r="BC145" s="785"/>
      <c r="BD145" s="785"/>
      <c r="BE145" s="785"/>
      <c r="BF145" s="785"/>
      <c r="BG145" s="785"/>
      <c r="BH145" s="785"/>
      <c r="BI145" s="413" t="s">
        <v>550</v>
      </c>
      <c r="BJ145" s="12"/>
    </row>
    <row r="146" spans="1:62"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785"/>
      <c r="AO146" s="785" t="s">
        <v>1614</v>
      </c>
      <c r="AP146" s="785" t="s">
        <v>1615</v>
      </c>
      <c r="AQ146" s="467" t="s">
        <v>1616</v>
      </c>
      <c r="AR146" s="1319"/>
      <c r="AS146" s="692" t="s">
        <v>1617</v>
      </c>
      <c r="AT146" s="785"/>
      <c r="AU146" s="785"/>
      <c r="AV146" s="785"/>
      <c r="AW146" s="785"/>
      <c r="AX146" s="785"/>
      <c r="AY146" s="785"/>
      <c r="AZ146" s="785"/>
      <c r="BA146" s="785"/>
      <c r="BB146" s="785"/>
      <c r="BC146" s="785"/>
      <c r="BD146" s="785"/>
      <c r="BE146" s="785"/>
      <c r="BF146" s="785"/>
      <c r="BG146" s="785"/>
      <c r="BH146" s="785"/>
      <c r="BI146" s="413" t="s">
        <v>550</v>
      </c>
      <c r="BJ146" s="12"/>
    </row>
    <row r="147" spans="1:62"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785"/>
      <c r="AO147" s="467" t="s">
        <v>1619</v>
      </c>
      <c r="AP147" s="467" t="s">
        <v>1620</v>
      </c>
      <c r="AQ147" s="467" t="s">
        <v>1621</v>
      </c>
      <c r="AR147" s="1319"/>
      <c r="AS147" s="692" t="s">
        <v>1622</v>
      </c>
      <c r="AT147" s="785"/>
      <c r="AU147" s="785"/>
      <c r="AV147" s="785"/>
      <c r="AW147" s="785"/>
      <c r="AX147" s="785"/>
      <c r="AY147" s="785"/>
      <c r="AZ147" s="785"/>
      <c r="BA147" s="785"/>
      <c r="BB147" s="785"/>
      <c r="BC147" s="785"/>
      <c r="BD147" s="785"/>
      <c r="BE147" s="785"/>
      <c r="BF147" s="785"/>
      <c r="BG147" s="785"/>
      <c r="BH147" s="785"/>
      <c r="BI147" s="413" t="s">
        <v>550</v>
      </c>
      <c r="BJ147" s="12"/>
    </row>
    <row r="148" spans="1:62"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785"/>
      <c r="AO148" s="467" t="s">
        <v>1625</v>
      </c>
      <c r="AP148" s="467" t="s">
        <v>1626</v>
      </c>
      <c r="AQ148" s="467" t="s">
        <v>1627</v>
      </c>
      <c r="AR148" s="1319"/>
      <c r="AS148" s="692" t="s">
        <v>1628</v>
      </c>
      <c r="AT148" s="785"/>
      <c r="AU148" s="785"/>
      <c r="AV148" s="785"/>
      <c r="AW148" s="785"/>
      <c r="AX148" s="785"/>
      <c r="AY148" s="785"/>
      <c r="AZ148" s="785"/>
      <c r="BA148" s="785"/>
      <c r="BB148" s="785"/>
      <c r="BC148" s="785"/>
      <c r="BD148" s="785"/>
      <c r="BE148" s="785"/>
      <c r="BF148" s="785"/>
      <c r="BG148" s="785"/>
      <c r="BH148" s="785"/>
      <c r="BI148" s="413" t="s">
        <v>550</v>
      </c>
      <c r="BJ148" s="12"/>
    </row>
    <row r="149" spans="1:62"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785"/>
      <c r="AO149" s="532"/>
      <c r="AP149" s="467" t="s">
        <v>1630</v>
      </c>
      <c r="AQ149" s="467" t="s">
        <v>1631</v>
      </c>
      <c r="AR149" s="1319"/>
      <c r="AS149" s="692" t="s">
        <v>1632</v>
      </c>
      <c r="AT149" s="785"/>
      <c r="AU149" s="785"/>
      <c r="AV149" s="785"/>
      <c r="AW149" s="785"/>
      <c r="AX149" s="785"/>
      <c r="AY149" s="785"/>
      <c r="AZ149" s="785"/>
      <c r="BA149" s="785"/>
      <c r="BB149" s="785"/>
      <c r="BC149" s="785"/>
      <c r="BD149" s="785"/>
      <c r="BE149" s="785"/>
      <c r="BF149" s="785"/>
      <c r="BG149" s="785"/>
      <c r="BH149" s="785"/>
      <c r="BI149" s="413" t="s">
        <v>550</v>
      </c>
      <c r="BJ149" s="12"/>
    </row>
    <row r="150" spans="1:62"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785"/>
      <c r="AO150" s="532"/>
      <c r="AP150" s="467" t="s">
        <v>1633</v>
      </c>
      <c r="AQ150" s="505" t="s">
        <v>1634</v>
      </c>
      <c r="AR150" s="1938"/>
      <c r="AS150" s="692" t="s">
        <v>1635</v>
      </c>
      <c r="AT150" s="785"/>
      <c r="AU150" s="785"/>
      <c r="AV150" s="785"/>
      <c r="AW150" s="785"/>
      <c r="AX150" s="785"/>
      <c r="AY150" s="785"/>
      <c r="AZ150" s="785"/>
      <c r="BA150" s="785"/>
      <c r="BB150" s="785"/>
      <c r="BC150" s="785"/>
      <c r="BD150" s="785"/>
      <c r="BE150" s="785"/>
      <c r="BF150" s="785"/>
      <c r="BG150" s="785"/>
      <c r="BH150" s="785"/>
      <c r="BI150" s="413" t="s">
        <v>550</v>
      </c>
      <c r="BJ150" s="12"/>
    </row>
    <row r="151" spans="1:62"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785"/>
      <c r="AO151" s="532"/>
      <c r="AP151" s="467" t="s">
        <v>1637</v>
      </c>
      <c r="AQ151" s="467" t="s">
        <v>1638</v>
      </c>
      <c r="AR151" s="1319"/>
      <c r="AS151" s="692" t="s">
        <v>1639</v>
      </c>
      <c r="AT151" s="785"/>
      <c r="AU151" s="785"/>
      <c r="AV151" s="785"/>
      <c r="AW151" s="785"/>
      <c r="AX151" s="785"/>
      <c r="AY151" s="785"/>
      <c r="AZ151" s="785"/>
      <c r="BA151" s="785"/>
      <c r="BB151" s="785"/>
      <c r="BC151" s="785"/>
      <c r="BD151" s="785"/>
      <c r="BE151" s="785"/>
      <c r="BF151" s="785"/>
      <c r="BG151" s="785"/>
      <c r="BH151" s="785"/>
      <c r="BI151" s="413" t="s">
        <v>550</v>
      </c>
      <c r="BJ151" s="12"/>
    </row>
    <row r="152" spans="1:62"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785"/>
      <c r="AO152" s="467" t="s">
        <v>1642</v>
      </c>
      <c r="AP152" s="467" t="s">
        <v>1643</v>
      </c>
      <c r="AQ152" s="467" t="s">
        <v>1644</v>
      </c>
      <c r="AR152" s="1319"/>
      <c r="AS152" s="692" t="s">
        <v>1645</v>
      </c>
      <c r="AT152" s="785"/>
      <c r="AU152" s="785"/>
      <c r="AV152" s="785"/>
      <c r="AW152" s="785"/>
      <c r="AX152" s="785"/>
      <c r="AY152" s="785"/>
      <c r="AZ152" s="785"/>
      <c r="BA152" s="785"/>
      <c r="BB152" s="785"/>
      <c r="BC152" s="785"/>
      <c r="BD152" s="785"/>
      <c r="BE152" s="785"/>
      <c r="BF152" s="785"/>
      <c r="BG152" s="785"/>
      <c r="BH152" s="785"/>
      <c r="BI152" s="783" t="s">
        <v>550</v>
      </c>
      <c r="BJ152" s="12"/>
    </row>
    <row r="153" spans="1:62"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785"/>
      <c r="AO153" s="467" t="s">
        <v>1646</v>
      </c>
      <c r="AP153" s="467" t="s">
        <v>1647</v>
      </c>
      <c r="AQ153" s="505" t="s">
        <v>1648</v>
      </c>
      <c r="AR153" s="1938"/>
      <c r="AS153" s="692" t="s">
        <v>1649</v>
      </c>
      <c r="AT153" s="785"/>
      <c r="AU153" s="785"/>
      <c r="AV153" s="785"/>
      <c r="AW153" s="785"/>
      <c r="AX153" s="785"/>
      <c r="AY153" s="785"/>
      <c r="AZ153" s="785"/>
      <c r="BA153" s="785"/>
      <c r="BB153" s="785"/>
      <c r="BC153" s="785"/>
      <c r="BD153" s="785"/>
      <c r="BE153" s="785"/>
      <c r="BF153" s="785"/>
      <c r="BG153" s="785"/>
      <c r="BH153" s="785"/>
      <c r="BI153" s="413" t="s">
        <v>550</v>
      </c>
      <c r="BJ153" s="12"/>
    </row>
    <row r="154" spans="1:62"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2535</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785"/>
      <c r="AO154" s="532"/>
      <c r="AP154" s="532"/>
      <c r="AQ154" s="467" t="s">
        <v>1652</v>
      </c>
      <c r="AR154" s="1319"/>
      <c r="AS154" s="692" t="s">
        <v>1653</v>
      </c>
      <c r="AT154" s="785"/>
      <c r="AU154" s="785"/>
      <c r="AV154" s="785"/>
      <c r="AW154" s="785"/>
      <c r="AX154" s="785"/>
      <c r="AY154" s="785"/>
      <c r="AZ154" s="785"/>
      <c r="BA154" s="785"/>
      <c r="BB154" s="785"/>
      <c r="BC154" s="785"/>
      <c r="BD154" s="785"/>
      <c r="BE154" s="785"/>
      <c r="BF154" s="785"/>
      <c r="BG154" s="785"/>
      <c r="BH154" s="785"/>
      <c r="BI154" s="413" t="s">
        <v>550</v>
      </c>
      <c r="BJ154" s="12"/>
    </row>
    <row r="155" spans="1:62"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2535</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785"/>
      <c r="AO155" s="467" t="s">
        <v>1655</v>
      </c>
      <c r="AP155" s="467" t="s">
        <v>1656</v>
      </c>
      <c r="AQ155" s="505" t="s">
        <v>1657</v>
      </c>
      <c r="AR155" s="1938"/>
      <c r="AS155" s="694" t="s">
        <v>1658</v>
      </c>
      <c r="AT155" s="786"/>
      <c r="AU155" s="786"/>
      <c r="AV155" s="786"/>
      <c r="AW155" s="786"/>
      <c r="AX155" s="786"/>
      <c r="AY155" s="786"/>
      <c r="AZ155" s="786"/>
      <c r="BA155" s="786"/>
      <c r="BB155" s="786"/>
      <c r="BC155" s="786"/>
      <c r="BD155" s="786"/>
      <c r="BE155" s="786"/>
      <c r="BF155" s="786"/>
      <c r="BG155" s="786"/>
      <c r="BH155" s="786"/>
      <c r="BI155" s="413" t="s">
        <v>550</v>
      </c>
      <c r="BJ155" s="12"/>
    </row>
    <row r="156" spans="1:62"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2535</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785"/>
      <c r="AO156" s="532"/>
      <c r="AP156" s="532"/>
      <c r="AQ156" s="467" t="s">
        <v>1660</v>
      </c>
      <c r="AR156" s="1319"/>
      <c r="AS156" s="692" t="s">
        <v>1661</v>
      </c>
      <c r="AT156" s="785"/>
      <c r="AU156" s="785"/>
      <c r="AV156" s="785"/>
      <c r="AW156" s="785"/>
      <c r="AX156" s="785"/>
      <c r="AY156" s="785"/>
      <c r="AZ156" s="785"/>
      <c r="BA156" s="785"/>
      <c r="BB156" s="785"/>
      <c r="BC156" s="785"/>
      <c r="BD156" s="785"/>
      <c r="BE156" s="785"/>
      <c r="BF156" s="785"/>
      <c r="BG156" s="785"/>
      <c r="BH156" s="785"/>
      <c r="BI156" s="413" t="s">
        <v>550</v>
      </c>
      <c r="BJ156" s="12"/>
    </row>
    <row r="157" spans="1:62"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2535</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785"/>
      <c r="AO157" s="467" t="s">
        <v>1664</v>
      </c>
      <c r="AP157" s="467" t="s">
        <v>1665</v>
      </c>
      <c r="AQ157" s="467" t="s">
        <v>1666</v>
      </c>
      <c r="AR157" s="1319"/>
      <c r="AS157" s="692" t="s">
        <v>1667</v>
      </c>
      <c r="AT157" s="785"/>
      <c r="AU157" s="785"/>
      <c r="AV157" s="785"/>
      <c r="AW157" s="785"/>
      <c r="AX157" s="785"/>
      <c r="AY157" s="785"/>
      <c r="AZ157" s="785"/>
      <c r="BA157" s="785"/>
      <c r="BB157" s="785"/>
      <c r="BC157" s="785"/>
      <c r="BD157" s="785"/>
      <c r="BE157" s="785"/>
      <c r="BF157" s="785"/>
      <c r="BG157" s="785"/>
      <c r="BH157" s="785"/>
      <c r="BI157" s="413" t="s">
        <v>550</v>
      </c>
      <c r="BJ157" s="12"/>
    </row>
    <row r="158" spans="1:62"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2535</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785"/>
      <c r="AO158" s="467" t="s">
        <v>1669</v>
      </c>
      <c r="AP158" s="467" t="s">
        <v>1670</v>
      </c>
      <c r="AQ158" s="505" t="s">
        <v>1671</v>
      </c>
      <c r="AR158" s="1938"/>
      <c r="AS158" s="694" t="s">
        <v>1672</v>
      </c>
      <c r="AT158" s="786"/>
      <c r="AU158" s="786"/>
      <c r="AV158" s="786"/>
      <c r="AW158" s="786"/>
      <c r="AX158" s="786"/>
      <c r="AY158" s="786"/>
      <c r="AZ158" s="786"/>
      <c r="BA158" s="786"/>
      <c r="BB158" s="786"/>
      <c r="BC158" s="786"/>
      <c r="BD158" s="786"/>
      <c r="BE158" s="786"/>
      <c r="BF158" s="786"/>
      <c r="BG158" s="786"/>
      <c r="BH158" s="786"/>
      <c r="BI158" s="413" t="s">
        <v>550</v>
      </c>
      <c r="BJ158" s="12"/>
    </row>
    <row r="159" spans="1:62"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2535</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785"/>
      <c r="AO159" s="467" t="s">
        <v>1674</v>
      </c>
      <c r="AP159" s="467" t="s">
        <v>1675</v>
      </c>
      <c r="AQ159" s="467" t="s">
        <v>1676</v>
      </c>
      <c r="AR159" s="1319"/>
      <c r="AS159" s="692" t="s">
        <v>1677</v>
      </c>
      <c r="AT159" s="785"/>
      <c r="AU159" s="785"/>
      <c r="AV159" s="785"/>
      <c r="AW159" s="785"/>
      <c r="AX159" s="785"/>
      <c r="AY159" s="785"/>
      <c r="AZ159" s="785"/>
      <c r="BA159" s="785"/>
      <c r="BB159" s="785"/>
      <c r="BC159" s="785"/>
      <c r="BD159" s="785"/>
      <c r="BE159" s="785"/>
      <c r="BF159" s="785"/>
      <c r="BG159" s="785"/>
      <c r="BH159" s="785"/>
      <c r="BI159" s="413" t="s">
        <v>550</v>
      </c>
      <c r="BJ159" s="12"/>
    </row>
    <row r="160" spans="1:62"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785"/>
      <c r="AO160" s="467" t="s">
        <v>1680</v>
      </c>
      <c r="AP160" s="467" t="s">
        <v>1681</v>
      </c>
      <c r="AQ160" s="467" t="s">
        <v>1682</v>
      </c>
      <c r="AR160" s="1319"/>
      <c r="AS160" s="692" t="s">
        <v>1683</v>
      </c>
      <c r="AT160" s="785"/>
      <c r="AU160" s="785"/>
      <c r="AV160" s="785"/>
      <c r="AW160" s="785"/>
      <c r="AX160" s="785"/>
      <c r="AY160" s="785"/>
      <c r="AZ160" s="785"/>
      <c r="BA160" s="785"/>
      <c r="BB160" s="785"/>
      <c r="BC160" s="785"/>
      <c r="BD160" s="785"/>
      <c r="BE160" s="785"/>
      <c r="BF160" s="785"/>
      <c r="BG160" s="785"/>
      <c r="BH160" s="785"/>
      <c r="BI160" s="413" t="s">
        <v>550</v>
      </c>
      <c r="BJ160" s="12"/>
    </row>
    <row r="161" spans="1:62"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785"/>
      <c r="AO161" s="467" t="s">
        <v>1686</v>
      </c>
      <c r="AP161" s="467" t="s">
        <v>1687</v>
      </c>
      <c r="AQ161" s="505" t="s">
        <v>1688</v>
      </c>
      <c r="AR161" s="1938"/>
      <c r="AS161" s="694" t="s">
        <v>1689</v>
      </c>
      <c r="AT161" s="786"/>
      <c r="AU161" s="786"/>
      <c r="AV161" s="786"/>
      <c r="AW161" s="786"/>
      <c r="AX161" s="786"/>
      <c r="AY161" s="786"/>
      <c r="AZ161" s="786"/>
      <c r="BA161" s="786"/>
      <c r="BB161" s="786"/>
      <c r="BC161" s="786"/>
      <c r="BD161" s="786"/>
      <c r="BE161" s="786"/>
      <c r="BF161" s="786"/>
      <c r="BG161" s="786"/>
      <c r="BH161" s="786"/>
      <c r="BI161" s="413" t="s">
        <v>550</v>
      </c>
      <c r="BJ161" s="12"/>
    </row>
    <row r="162" spans="1:62"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2541</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785"/>
      <c r="AO162" s="467" t="s">
        <v>1692</v>
      </c>
      <c r="AP162" s="467" t="s">
        <v>1693</v>
      </c>
      <c r="AQ162" s="467" t="s">
        <v>1694</v>
      </c>
      <c r="AR162" s="1319"/>
      <c r="AS162" s="692" t="s">
        <v>1695</v>
      </c>
      <c r="AT162" s="785"/>
      <c r="AU162" s="785"/>
      <c r="AV162" s="785"/>
      <c r="AW162" s="785"/>
      <c r="AX162" s="785"/>
      <c r="AY162" s="785"/>
      <c r="AZ162" s="785"/>
      <c r="BA162" s="785"/>
      <c r="BB162" s="785"/>
      <c r="BC162" s="785"/>
      <c r="BD162" s="785"/>
      <c r="BE162" s="785"/>
      <c r="BF162" s="785"/>
      <c r="BG162" s="785"/>
      <c r="BH162" s="785"/>
      <c r="BI162" s="413" t="s">
        <v>550</v>
      </c>
      <c r="BJ162" s="12"/>
    </row>
    <row r="163" spans="1:62"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2607</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785"/>
      <c r="AO163" s="467" t="s">
        <v>1698</v>
      </c>
      <c r="AP163" s="467" t="s">
        <v>1699</v>
      </c>
      <c r="AQ163" s="467" t="s">
        <v>1700</v>
      </c>
      <c r="AR163" s="1319"/>
      <c r="AS163" s="692" t="s">
        <v>1701</v>
      </c>
      <c r="AT163" s="785"/>
      <c r="AU163" s="785"/>
      <c r="AV163" s="785"/>
      <c r="AW163" s="785"/>
      <c r="AX163" s="785"/>
      <c r="AY163" s="785"/>
      <c r="AZ163" s="785"/>
      <c r="BA163" s="785"/>
      <c r="BB163" s="785"/>
      <c r="BC163" s="785"/>
      <c r="BD163" s="785"/>
      <c r="BE163" s="785"/>
      <c r="BF163" s="785"/>
      <c r="BG163" s="785"/>
      <c r="BH163" s="785"/>
      <c r="BI163" s="33" t="s">
        <v>550</v>
      </c>
      <c r="BJ163" s="12"/>
    </row>
    <row r="164" spans="1:62"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785"/>
      <c r="AO164" s="467" t="s">
        <v>1705</v>
      </c>
      <c r="AP164" s="532"/>
      <c r="AQ164" s="467" t="s">
        <v>1706</v>
      </c>
      <c r="AR164" s="1319"/>
      <c r="AS164" s="692" t="s">
        <v>1707</v>
      </c>
      <c r="AT164" s="785"/>
      <c r="AU164" s="785"/>
      <c r="AV164" s="785"/>
      <c r="AW164" s="785"/>
      <c r="AX164" s="785"/>
      <c r="AY164" s="785"/>
      <c r="AZ164" s="785"/>
      <c r="BA164" s="785"/>
      <c r="BB164" s="785"/>
      <c r="BC164" s="785"/>
      <c r="BD164" s="785"/>
      <c r="BE164" s="785"/>
      <c r="BF164" s="785"/>
      <c r="BG164" s="785"/>
      <c r="BH164" s="785"/>
      <c r="BI164" s="33" t="s">
        <v>550</v>
      </c>
      <c r="BJ164" s="12"/>
    </row>
    <row r="165" spans="1:62"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2616</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785"/>
      <c r="AO165" s="467" t="s">
        <v>1709</v>
      </c>
      <c r="AP165" s="467" t="s">
        <v>1710</v>
      </c>
      <c r="AQ165" s="467" t="s">
        <v>1711</v>
      </c>
      <c r="AR165" s="1319"/>
      <c r="AS165" s="694" t="s">
        <v>1712</v>
      </c>
      <c r="AT165" s="786"/>
      <c r="AU165" s="786"/>
      <c r="AV165" s="786"/>
      <c r="AW165" s="786"/>
      <c r="AX165" s="786"/>
      <c r="AY165" s="786"/>
      <c r="AZ165" s="786"/>
      <c r="BA165" s="786"/>
      <c r="BB165" s="786"/>
      <c r="BC165" s="786"/>
      <c r="BD165" s="786"/>
      <c r="BE165" s="786"/>
      <c r="BF165" s="786"/>
      <c r="BG165" s="786"/>
      <c r="BH165" s="786"/>
      <c r="BI165" s="33" t="s">
        <v>550</v>
      </c>
      <c r="BJ165" s="12"/>
    </row>
    <row r="166" spans="1:62"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2509</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785"/>
      <c r="AO166" s="532"/>
      <c r="AP166" s="532"/>
      <c r="AQ166" s="467" t="s">
        <v>1714</v>
      </c>
      <c r="AR166" s="1319"/>
      <c r="AS166" s="692" t="s">
        <v>1715</v>
      </c>
      <c r="AT166" s="785"/>
      <c r="AU166" s="785"/>
      <c r="AV166" s="785"/>
      <c r="AW166" s="785"/>
      <c r="AX166" s="785"/>
      <c r="AY166" s="785"/>
      <c r="AZ166" s="785"/>
      <c r="BA166" s="785"/>
      <c r="BB166" s="785"/>
      <c r="BC166" s="785"/>
      <c r="BD166" s="785"/>
      <c r="BE166" s="785"/>
      <c r="BF166" s="785"/>
      <c r="BG166" s="785"/>
      <c r="BH166" s="785"/>
      <c r="BI166" s="33" t="s">
        <v>550</v>
      </c>
      <c r="BJ166" s="12"/>
    </row>
    <row r="167" spans="1:62"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2541</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785"/>
      <c r="AO167" s="467" t="s">
        <v>1718</v>
      </c>
      <c r="AP167" s="467" t="s">
        <v>1719</v>
      </c>
      <c r="AQ167" s="467" t="s">
        <v>1720</v>
      </c>
      <c r="AR167" s="1319"/>
      <c r="AS167" s="692" t="s">
        <v>1721</v>
      </c>
      <c r="AT167" s="785"/>
      <c r="AU167" s="785"/>
      <c r="AV167" s="785"/>
      <c r="AW167" s="785"/>
      <c r="AX167" s="785"/>
      <c r="AY167" s="785"/>
      <c r="AZ167" s="785"/>
      <c r="BA167" s="785"/>
      <c r="BB167" s="785"/>
      <c r="BC167" s="785"/>
      <c r="BD167" s="785"/>
      <c r="BE167" s="785"/>
      <c r="BF167" s="785"/>
      <c r="BG167" s="785"/>
      <c r="BH167" s="785"/>
      <c r="BI167" s="33" t="s">
        <v>550</v>
      </c>
      <c r="BJ167" s="12"/>
    </row>
    <row r="168" spans="1:62"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2541</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785"/>
      <c r="AO168" s="467" t="s">
        <v>1723</v>
      </c>
      <c r="AP168" s="467" t="s">
        <v>1724</v>
      </c>
      <c r="AQ168" s="505" t="s">
        <v>1725</v>
      </c>
      <c r="AR168" s="1938"/>
      <c r="AS168" s="692" t="s">
        <v>1726</v>
      </c>
      <c r="AT168" s="785"/>
      <c r="AU168" s="785"/>
      <c r="AV168" s="785"/>
      <c r="AW168" s="785"/>
      <c r="AX168" s="785"/>
      <c r="AY168" s="785"/>
      <c r="AZ168" s="785"/>
      <c r="BA168" s="785"/>
      <c r="BB168" s="785"/>
      <c r="BC168" s="785"/>
      <c r="BD168" s="785"/>
      <c r="BE168" s="785"/>
      <c r="BF168" s="785"/>
      <c r="BG168" s="785"/>
      <c r="BH168" s="785"/>
      <c r="BI168" s="33" t="s">
        <v>550</v>
      </c>
      <c r="BJ168" s="12"/>
    </row>
    <row r="169" spans="1:62"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2541</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785"/>
      <c r="AO169" s="532"/>
      <c r="AP169" s="467" t="s">
        <v>1727</v>
      </c>
      <c r="AQ169" s="467" t="s">
        <v>1728</v>
      </c>
      <c r="AR169" s="1319"/>
      <c r="AS169" s="692" t="s">
        <v>1729</v>
      </c>
      <c r="AT169" s="785"/>
      <c r="AU169" s="785"/>
      <c r="AV169" s="785"/>
      <c r="AW169" s="785"/>
      <c r="AX169" s="785"/>
      <c r="AY169" s="785"/>
      <c r="AZ169" s="785"/>
      <c r="BA169" s="785"/>
      <c r="BB169" s="785"/>
      <c r="BC169" s="785"/>
      <c r="BD169" s="785"/>
      <c r="BE169" s="785"/>
      <c r="BF169" s="785"/>
      <c r="BG169" s="785"/>
      <c r="BH169" s="785"/>
      <c r="BI169" s="33" t="s">
        <v>550</v>
      </c>
      <c r="BJ169" s="12"/>
    </row>
    <row r="170" spans="1:62"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2607</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785"/>
      <c r="AO170" s="467" t="s">
        <v>1731</v>
      </c>
      <c r="AP170" s="467" t="s">
        <v>1732</v>
      </c>
      <c r="AQ170" s="467" t="s">
        <v>1733</v>
      </c>
      <c r="AR170" s="1319"/>
      <c r="AS170" s="692" t="s">
        <v>1734</v>
      </c>
      <c r="AT170" s="785"/>
      <c r="AU170" s="785"/>
      <c r="AV170" s="785"/>
      <c r="AW170" s="785"/>
      <c r="AX170" s="785"/>
      <c r="AY170" s="785"/>
      <c r="AZ170" s="785"/>
      <c r="BA170" s="785"/>
      <c r="BB170" s="785"/>
      <c r="BC170" s="785"/>
      <c r="BD170" s="785"/>
      <c r="BE170" s="785"/>
      <c r="BF170" s="785"/>
      <c r="BG170" s="785"/>
      <c r="BH170" s="785"/>
      <c r="BI170" s="33" t="s">
        <v>550</v>
      </c>
      <c r="BJ170" s="12"/>
    </row>
    <row r="171" spans="1:62"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2506</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785"/>
      <c r="AO171" s="467" t="s">
        <v>1741</v>
      </c>
      <c r="AP171" s="467" t="s">
        <v>1742</v>
      </c>
      <c r="AQ171" s="527" t="s">
        <v>1743</v>
      </c>
      <c r="AR171" s="503"/>
      <c r="AS171" s="606" t="s">
        <v>1744</v>
      </c>
      <c r="AT171" s="503"/>
      <c r="AU171" s="503"/>
      <c r="AV171" s="503"/>
      <c r="AW171" s="503"/>
      <c r="AX171" s="503"/>
      <c r="AY171" s="503"/>
      <c r="AZ171" s="503"/>
      <c r="BA171" s="503"/>
      <c r="BB171" s="503"/>
      <c r="BC171" s="503"/>
      <c r="BD171" s="503"/>
      <c r="BE171" s="503"/>
      <c r="BF171" s="503"/>
      <c r="BG171" s="503"/>
      <c r="BH171" s="503"/>
      <c r="BI171" s="54" t="s">
        <v>550</v>
      </c>
      <c r="BJ171" s="12"/>
    </row>
    <row r="172" spans="1:62"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2580</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785"/>
      <c r="AO172" s="467" t="s">
        <v>1750</v>
      </c>
      <c r="AP172" s="467" t="s">
        <v>1751</v>
      </c>
      <c r="AQ172" s="527" t="s">
        <v>1752</v>
      </c>
      <c r="AR172" s="503"/>
      <c r="AS172" s="606" t="s">
        <v>1753</v>
      </c>
      <c r="AT172" s="503"/>
      <c r="AU172" s="503"/>
      <c r="AV172" s="503"/>
      <c r="AW172" s="503"/>
      <c r="AX172" s="503"/>
      <c r="AY172" s="503"/>
      <c r="AZ172" s="503"/>
      <c r="BA172" s="503"/>
      <c r="BB172" s="503"/>
      <c r="BC172" s="503"/>
      <c r="BD172" s="503"/>
      <c r="BE172" s="503"/>
      <c r="BF172" s="503"/>
      <c r="BG172" s="503"/>
      <c r="BH172" s="503"/>
      <c r="BI172" s="33" t="s">
        <v>550</v>
      </c>
      <c r="BJ172" s="12"/>
    </row>
    <row r="173" spans="1:62"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785"/>
      <c r="AO173" s="467" t="s">
        <v>1758</v>
      </c>
      <c r="AP173" s="467" t="s">
        <v>1759</v>
      </c>
      <c r="AQ173" s="527" t="s">
        <v>1760</v>
      </c>
      <c r="AR173" s="1324"/>
      <c r="AS173" s="605" t="s">
        <v>1761</v>
      </c>
      <c r="AT173" s="494"/>
      <c r="AU173" s="494"/>
      <c r="AV173" s="494"/>
      <c r="AW173" s="494"/>
      <c r="AX173" s="494"/>
      <c r="AY173" s="494"/>
      <c r="AZ173" s="494"/>
      <c r="BA173" s="494"/>
      <c r="BB173" s="494"/>
      <c r="BC173" s="494"/>
      <c r="BD173" s="494"/>
      <c r="BE173" s="494"/>
      <c r="BF173" s="494"/>
      <c r="BG173" s="494"/>
      <c r="BH173" s="494"/>
      <c r="BI173" s="33" t="s">
        <v>550</v>
      </c>
      <c r="BJ173" s="12"/>
    </row>
    <row r="174" spans="1:62"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2607</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2958</v>
      </c>
      <c r="AD174" s="146" t="s">
        <v>2958</v>
      </c>
      <c r="AE174" s="184" t="str">
        <f>OBRA!Y172</f>
        <v>LIC. SALVADOR CONTRERAS OLGUÍN</v>
      </c>
      <c r="AF174" s="19">
        <v>196.11</v>
      </c>
      <c r="AG174" s="2" t="s">
        <v>1450</v>
      </c>
      <c r="AH174" s="607">
        <f t="shared" si="4"/>
        <v>1762.8596705930343</v>
      </c>
      <c r="AI174" s="2">
        <v>150</v>
      </c>
      <c r="AJ174" s="156" t="s">
        <v>1443</v>
      </c>
      <c r="AK174" s="514"/>
      <c r="AL174" s="514"/>
      <c r="AM174" s="514"/>
      <c r="AN174" s="785"/>
      <c r="AO174" s="467" t="s">
        <v>1765</v>
      </c>
      <c r="AP174" s="467" t="s">
        <v>1766</v>
      </c>
      <c r="AQ174" s="527" t="s">
        <v>1767</v>
      </c>
      <c r="AR174" s="1939"/>
      <c r="AS174" s="695" t="s">
        <v>1768</v>
      </c>
      <c r="AT174" s="503"/>
      <c r="AU174" s="503"/>
      <c r="AV174" s="503"/>
      <c r="AW174" s="503"/>
      <c r="AX174" s="503"/>
      <c r="AY174" s="503"/>
      <c r="AZ174" s="503"/>
      <c r="BA174" s="503"/>
      <c r="BB174" s="503"/>
      <c r="BC174" s="503"/>
      <c r="BD174" s="503"/>
      <c r="BE174" s="503"/>
      <c r="BF174" s="503"/>
      <c r="BG174" s="503"/>
      <c r="BH174" s="503"/>
      <c r="BI174" s="33" t="s">
        <v>550</v>
      </c>
      <c r="BJ174" s="12"/>
    </row>
    <row r="175" spans="1:62"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2607</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2958</v>
      </c>
      <c r="AD175" s="146" t="s">
        <v>2958</v>
      </c>
      <c r="AE175" s="184" t="str">
        <f>OBRA!Y173</f>
        <v>LIC. SALVADOR CONTRERAS OLGUÍN</v>
      </c>
      <c r="AF175" s="19">
        <v>196.11</v>
      </c>
      <c r="AG175" s="2" t="s">
        <v>1450</v>
      </c>
      <c r="AH175" s="607">
        <f t="shared" si="4"/>
        <v>2083.5855897200549</v>
      </c>
      <c r="AI175" s="2">
        <v>150</v>
      </c>
      <c r="AJ175" s="156" t="s">
        <v>1443</v>
      </c>
      <c r="AK175" s="514"/>
      <c r="AL175" s="514"/>
      <c r="AM175" s="514"/>
      <c r="AN175" s="785"/>
      <c r="AO175" s="467" t="s">
        <v>1770</v>
      </c>
      <c r="AP175" s="467" t="s">
        <v>1771</v>
      </c>
      <c r="AQ175" s="527" t="s">
        <v>1772</v>
      </c>
      <c r="AR175" s="1939"/>
      <c r="AS175" s="696" t="s">
        <v>1773</v>
      </c>
      <c r="AT175" s="497"/>
      <c r="AU175" s="497"/>
      <c r="AV175" s="497"/>
      <c r="AW175" s="497"/>
      <c r="AX175" s="497"/>
      <c r="AY175" s="497"/>
      <c r="AZ175" s="497"/>
      <c r="BA175" s="497"/>
      <c r="BB175" s="497"/>
      <c r="BC175" s="497"/>
      <c r="BD175" s="497"/>
      <c r="BE175" s="497"/>
      <c r="BF175" s="497"/>
      <c r="BG175" s="497"/>
      <c r="BH175" s="497"/>
      <c r="BI175" s="33" t="s">
        <v>550</v>
      </c>
      <c r="BJ175" s="12"/>
    </row>
    <row r="176" spans="1:62"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785"/>
      <c r="AO176" s="527" t="s">
        <v>1776</v>
      </c>
      <c r="AP176" s="527" t="s">
        <v>1777</v>
      </c>
      <c r="AQ176" s="459" t="s">
        <v>1778</v>
      </c>
      <c r="AR176" s="1940"/>
      <c r="AS176" s="697" t="s">
        <v>1779</v>
      </c>
      <c r="AT176" s="502"/>
      <c r="AU176" s="502"/>
      <c r="AV176" s="502"/>
      <c r="AW176" s="502"/>
      <c r="AX176" s="502"/>
      <c r="AY176" s="502"/>
      <c r="AZ176" s="502"/>
      <c r="BA176" s="502"/>
      <c r="BB176" s="502"/>
      <c r="BC176" s="502"/>
      <c r="BD176" s="502"/>
      <c r="BE176" s="502"/>
      <c r="BF176" s="502"/>
      <c r="BG176" s="502"/>
      <c r="BH176" s="502"/>
      <c r="BI176" s="33" t="s">
        <v>550</v>
      </c>
      <c r="BJ176" s="12"/>
    </row>
    <row r="177" spans="1:62"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785"/>
      <c r="AO177" s="527" t="s">
        <v>1781</v>
      </c>
      <c r="AP177" s="527" t="s">
        <v>1782</v>
      </c>
      <c r="AQ177" s="459" t="s">
        <v>1783</v>
      </c>
      <c r="AR177" s="1941"/>
      <c r="AS177" s="696" t="s">
        <v>1784</v>
      </c>
      <c r="AT177" s="497"/>
      <c r="AU177" s="497"/>
      <c r="AV177" s="497"/>
      <c r="AW177" s="497"/>
      <c r="AX177" s="497"/>
      <c r="AY177" s="497"/>
      <c r="AZ177" s="497"/>
      <c r="BA177" s="497"/>
      <c r="BB177" s="497"/>
      <c r="BC177" s="497"/>
      <c r="BD177" s="497"/>
      <c r="BE177" s="497"/>
      <c r="BF177" s="497"/>
      <c r="BG177" s="497"/>
      <c r="BH177" s="497"/>
      <c r="BI177" s="33" t="s">
        <v>550</v>
      </c>
      <c r="BJ177" s="12"/>
    </row>
    <row r="178" spans="1:62"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785"/>
      <c r="AO178" s="467" t="s">
        <v>1786</v>
      </c>
      <c r="AP178" s="467" t="s">
        <v>1787</v>
      </c>
      <c r="AQ178" s="527" t="s">
        <v>1788</v>
      </c>
      <c r="AR178" s="503"/>
      <c r="AS178" s="606" t="s">
        <v>1789</v>
      </c>
      <c r="AT178" s="503"/>
      <c r="AU178" s="503"/>
      <c r="AV178" s="503"/>
      <c r="AW178" s="503"/>
      <c r="AX178" s="503"/>
      <c r="AY178" s="503"/>
      <c r="AZ178" s="503"/>
      <c r="BA178" s="503"/>
      <c r="BB178" s="503"/>
      <c r="BC178" s="503"/>
      <c r="BD178" s="503"/>
      <c r="BE178" s="503"/>
      <c r="BF178" s="503"/>
      <c r="BG178" s="503"/>
      <c r="BH178" s="503"/>
      <c r="BI178" s="33" t="s">
        <v>550</v>
      </c>
      <c r="BJ178" s="12"/>
    </row>
    <row r="179" spans="1:62"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785"/>
      <c r="AO179" s="467" t="s">
        <v>1791</v>
      </c>
      <c r="AP179" s="467" t="s">
        <v>1792</v>
      </c>
      <c r="AQ179" s="527" t="s">
        <v>1793</v>
      </c>
      <c r="AR179" s="1324"/>
      <c r="AS179" s="697" t="s">
        <v>1794</v>
      </c>
      <c r="AT179" s="502"/>
      <c r="AU179" s="502"/>
      <c r="AV179" s="502"/>
      <c r="AW179" s="502"/>
      <c r="AX179" s="502"/>
      <c r="AY179" s="502"/>
      <c r="AZ179" s="502"/>
      <c r="BA179" s="502"/>
      <c r="BB179" s="502"/>
      <c r="BC179" s="502"/>
      <c r="BD179" s="502"/>
      <c r="BE179" s="502"/>
      <c r="BF179" s="502"/>
      <c r="BG179" s="502"/>
      <c r="BH179" s="502"/>
      <c r="BI179" s="33" t="s">
        <v>550</v>
      </c>
      <c r="BJ179" s="12"/>
    </row>
    <row r="180" spans="1:62"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2958</v>
      </c>
      <c r="AD180" s="146" t="s">
        <v>2958</v>
      </c>
      <c r="AE180" s="184" t="str">
        <f>OBRA!Y178</f>
        <v>LIC. SALVADOR CONTRERAS OLGUÍN</v>
      </c>
      <c r="AF180" s="555">
        <v>654</v>
      </c>
      <c r="AG180" s="2" t="s">
        <v>1450</v>
      </c>
      <c r="AH180" s="607">
        <f t="shared" si="4"/>
        <v>889.03266055045867</v>
      </c>
      <c r="AI180" s="2">
        <v>2000</v>
      </c>
      <c r="AJ180" s="156" t="s">
        <v>1451</v>
      </c>
      <c r="AK180" s="514"/>
      <c r="AL180" s="514"/>
      <c r="AM180" s="514"/>
      <c r="AN180" s="785"/>
      <c r="AO180" s="467" t="s">
        <v>1797</v>
      </c>
      <c r="AP180" s="467" t="s">
        <v>1798</v>
      </c>
      <c r="AQ180" s="527" t="s">
        <v>1799</v>
      </c>
      <c r="AR180" s="1939"/>
      <c r="AS180" s="695" t="s">
        <v>1800</v>
      </c>
      <c r="AT180" s="503"/>
      <c r="AU180" s="503"/>
      <c r="AV180" s="503"/>
      <c r="AW180" s="503"/>
      <c r="AX180" s="503"/>
      <c r="AY180" s="503"/>
      <c r="AZ180" s="503"/>
      <c r="BA180" s="503"/>
      <c r="BB180" s="503"/>
      <c r="BC180" s="503"/>
      <c r="BD180" s="503"/>
      <c r="BE180" s="503"/>
      <c r="BF180" s="503"/>
      <c r="BG180" s="503"/>
      <c r="BH180" s="503"/>
      <c r="BI180" s="33" t="s">
        <v>550</v>
      </c>
      <c r="BJ180" s="12"/>
    </row>
    <row r="181" spans="1:62"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2958</v>
      </c>
      <c r="AD181" s="146" t="s">
        <v>2958</v>
      </c>
      <c r="AE181" s="184" t="str">
        <f>OBRA!Y179</f>
        <v>LIC. SALVADOR CONTRERAS OLGUÍN</v>
      </c>
      <c r="AF181" s="555">
        <v>670</v>
      </c>
      <c r="AG181" s="2" t="s">
        <v>1450</v>
      </c>
      <c r="AH181" s="607">
        <f t="shared" si="4"/>
        <v>731.64928358208954</v>
      </c>
      <c r="AI181" s="2">
        <v>2000</v>
      </c>
      <c r="AJ181" s="156" t="s">
        <v>1451</v>
      </c>
      <c r="AK181" s="514"/>
      <c r="AL181" s="514"/>
      <c r="AM181" s="514"/>
      <c r="AN181" s="785"/>
      <c r="AO181" s="467" t="s">
        <v>1802</v>
      </c>
      <c r="AP181" s="467" t="s">
        <v>1803</v>
      </c>
      <c r="AQ181" s="527" t="s">
        <v>1804</v>
      </c>
      <c r="AR181" s="1939"/>
      <c r="AS181" s="696" t="s">
        <v>1805</v>
      </c>
      <c r="AT181" s="497"/>
      <c r="AU181" s="497"/>
      <c r="AV181" s="497"/>
      <c r="AW181" s="497"/>
      <c r="AX181" s="497"/>
      <c r="AY181" s="497"/>
      <c r="AZ181" s="497"/>
      <c r="BA181" s="497"/>
      <c r="BB181" s="497"/>
      <c r="BC181" s="497"/>
      <c r="BD181" s="497"/>
      <c r="BE181" s="497"/>
      <c r="BF181" s="497"/>
      <c r="BG181" s="497"/>
      <c r="BH181" s="497"/>
      <c r="BI181" s="33" t="s">
        <v>550</v>
      </c>
      <c r="BJ181" s="12"/>
    </row>
    <row r="182" spans="1:62"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785"/>
      <c r="AO182" s="532"/>
      <c r="AP182" s="467" t="s">
        <v>1810</v>
      </c>
      <c r="AQ182" s="527" t="s">
        <v>1811</v>
      </c>
      <c r="AR182" s="1324"/>
      <c r="AS182" s="697" t="s">
        <v>1812</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2607</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785"/>
      <c r="AO183" s="467" t="s">
        <v>1815</v>
      </c>
      <c r="AP183" s="467" t="s">
        <v>1816</v>
      </c>
      <c r="AQ183" s="527" t="s">
        <v>1817</v>
      </c>
      <c r="AR183" s="1939"/>
      <c r="AS183" s="695" t="s">
        <v>1818</v>
      </c>
      <c r="AT183" s="503"/>
      <c r="AU183" s="503"/>
      <c r="AV183" s="503"/>
      <c r="AW183" s="503"/>
      <c r="AX183" s="503"/>
      <c r="AY183" s="503"/>
      <c r="AZ183" s="503"/>
      <c r="BA183" s="503"/>
      <c r="BB183" s="503"/>
      <c r="BC183" s="503"/>
      <c r="BD183" s="503"/>
      <c r="BE183" s="503"/>
      <c r="BF183" s="503"/>
      <c r="BG183" s="503"/>
      <c r="BH183" s="503"/>
      <c r="BI183" s="33" t="s">
        <v>550</v>
      </c>
      <c r="BJ183" s="12"/>
    </row>
    <row r="184" spans="1:62"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2607</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785"/>
      <c r="AO184" s="467" t="s">
        <v>1821</v>
      </c>
      <c r="AP184" s="467" t="s">
        <v>1822</v>
      </c>
      <c r="AQ184" s="527" t="s">
        <v>1823</v>
      </c>
      <c r="AR184" s="1939"/>
      <c r="AS184" s="695" t="s">
        <v>1824</v>
      </c>
      <c r="AT184" s="503"/>
      <c r="AU184" s="503"/>
      <c r="AV184" s="503"/>
      <c r="AW184" s="503"/>
      <c r="AX184" s="503"/>
      <c r="AY184" s="503"/>
      <c r="AZ184" s="503"/>
      <c r="BA184" s="503"/>
      <c r="BB184" s="503"/>
      <c r="BC184" s="503"/>
      <c r="BD184" s="503"/>
      <c r="BE184" s="503"/>
      <c r="BF184" s="503"/>
      <c r="BG184" s="503"/>
      <c r="BH184" s="503"/>
      <c r="BI184" s="33" t="s">
        <v>550</v>
      </c>
      <c r="BJ184" s="12"/>
    </row>
    <row r="185" spans="1:62"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9"/>
      <c r="AQ185" s="819"/>
      <c r="AR185" s="979"/>
      <c r="AS185" s="820"/>
      <c r="AT185" s="980"/>
      <c r="AU185" s="980"/>
      <c r="AV185" s="980"/>
      <c r="AW185" s="980"/>
      <c r="AX185" s="980"/>
      <c r="AY185" s="980"/>
      <c r="AZ185" s="980"/>
      <c r="BA185" s="980"/>
      <c r="BB185" s="980"/>
      <c r="BC185" s="980"/>
      <c r="BD185" s="980"/>
      <c r="BE185" s="980"/>
      <c r="BF185" s="980"/>
      <c r="BG185" s="980"/>
      <c r="BH185" s="980"/>
      <c r="BI185" s="517"/>
      <c r="BJ185" s="103"/>
    </row>
    <row r="186" spans="1:62"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785"/>
      <c r="AO186" s="532"/>
      <c r="AP186" s="467" t="s">
        <v>1829</v>
      </c>
      <c r="AQ186" s="527" t="s">
        <v>1830</v>
      </c>
      <c r="AR186" s="1324"/>
      <c r="AS186" s="697" t="s">
        <v>1831</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785"/>
      <c r="AO187" s="467" t="s">
        <v>1835</v>
      </c>
      <c r="AP187" s="532"/>
      <c r="AQ187" s="527" t="s">
        <v>1836</v>
      </c>
      <c r="AR187" s="1324"/>
      <c r="AS187" s="697" t="s">
        <v>1837</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785"/>
      <c r="AO188" s="467" t="s">
        <v>1842</v>
      </c>
      <c r="AP188" s="467" t="s">
        <v>1843</v>
      </c>
      <c r="AQ188" s="2" t="s">
        <v>67</v>
      </c>
      <c r="AR188" s="124"/>
      <c r="AS188" s="417" t="s">
        <v>1844</v>
      </c>
      <c r="AT188" s="523"/>
      <c r="AU188" s="523"/>
      <c r="AV188" s="523"/>
      <c r="AW188" s="523"/>
      <c r="AX188" s="523"/>
      <c r="AY188" s="523"/>
      <c r="AZ188" s="523"/>
      <c r="BA188" s="523"/>
      <c r="BB188" s="523"/>
      <c r="BC188" s="523"/>
      <c r="BD188" s="523"/>
      <c r="BE188" s="523"/>
      <c r="BF188" s="523"/>
      <c r="BG188" s="523"/>
      <c r="BH188" s="523"/>
      <c r="BI188" s="33" t="s">
        <v>1480</v>
      </c>
      <c r="BJ188" s="12"/>
    </row>
    <row r="189" spans="1:62"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785"/>
      <c r="AO189" s="467" t="s">
        <v>1846</v>
      </c>
      <c r="AP189" s="467" t="s">
        <v>1847</v>
      </c>
      <c r="AQ189" s="459" t="s">
        <v>1848</v>
      </c>
      <c r="AR189" s="1940"/>
      <c r="AS189" s="697" t="s">
        <v>1849</v>
      </c>
      <c r="AT189" s="502"/>
      <c r="AU189" s="502"/>
      <c r="AV189" s="502"/>
      <c r="AW189" s="502"/>
      <c r="AX189" s="502"/>
      <c r="AY189" s="502"/>
      <c r="AZ189" s="502"/>
      <c r="BA189" s="502"/>
      <c r="BB189" s="502"/>
      <c r="BC189" s="502"/>
      <c r="BD189" s="502"/>
      <c r="BE189" s="502"/>
      <c r="BF189" s="502"/>
      <c r="BG189" s="502"/>
      <c r="BH189" s="502"/>
      <c r="BI189" s="33" t="s">
        <v>550</v>
      </c>
      <c r="BJ189" s="12"/>
    </row>
    <row r="190" spans="1:62"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2607</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2958</v>
      </c>
      <c r="AD190" s="146" t="s">
        <v>2958</v>
      </c>
      <c r="AE190" s="184" t="str">
        <f>OBRA!Y188</f>
        <v>LIC. SALVADOR CONTRERAS OLGUÍN</v>
      </c>
      <c r="AF190" s="555">
        <v>1080.7</v>
      </c>
      <c r="AG190" s="2" t="s">
        <v>1548</v>
      </c>
      <c r="AH190" s="607">
        <f t="shared" si="4"/>
        <v>484.31229758489866</v>
      </c>
      <c r="AI190" s="2">
        <v>960</v>
      </c>
      <c r="AJ190" s="156" t="s">
        <v>1451</v>
      </c>
      <c r="AK190" s="514"/>
      <c r="AL190" s="514"/>
      <c r="AM190" s="514"/>
      <c r="AN190" s="785"/>
      <c r="AO190" s="467" t="s">
        <v>1851</v>
      </c>
      <c r="AP190" s="467" t="s">
        <v>1852</v>
      </c>
      <c r="AQ190" s="496" t="s">
        <v>1853</v>
      </c>
      <c r="AR190" s="1535"/>
      <c r="AS190" s="692" t="s">
        <v>1854</v>
      </c>
      <c r="AT190" s="785"/>
      <c r="AU190" s="785"/>
      <c r="AV190" s="785"/>
      <c r="AW190" s="785"/>
      <c r="AX190" s="785"/>
      <c r="AY190" s="785"/>
      <c r="AZ190" s="785"/>
      <c r="BA190" s="785"/>
      <c r="BB190" s="785"/>
      <c r="BC190" s="785"/>
      <c r="BD190" s="785"/>
      <c r="BE190" s="785"/>
      <c r="BF190" s="785"/>
      <c r="BG190" s="785"/>
      <c r="BH190" s="785"/>
      <c r="BI190" s="33" t="s">
        <v>550</v>
      </c>
      <c r="BJ190" s="12"/>
    </row>
    <row r="191" spans="1:62"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785"/>
      <c r="AO191" s="467" t="s">
        <v>1856</v>
      </c>
      <c r="AP191" s="467" t="s">
        <v>1857</v>
      </c>
      <c r="AQ191" s="527" t="s">
        <v>1858</v>
      </c>
      <c r="AR191" s="1939"/>
      <c r="AS191" s="695" t="s">
        <v>1859</v>
      </c>
      <c r="AT191" s="503"/>
      <c r="AU191" s="503"/>
      <c r="AV191" s="503"/>
      <c r="AW191" s="503"/>
      <c r="AX191" s="503"/>
      <c r="AY191" s="503"/>
      <c r="AZ191" s="503"/>
      <c r="BA191" s="503"/>
      <c r="BB191" s="503"/>
      <c r="BC191" s="503"/>
      <c r="BD191" s="503"/>
      <c r="BE191" s="503"/>
      <c r="BF191" s="503"/>
      <c r="BG191" s="503"/>
      <c r="BH191" s="503"/>
      <c r="BI191" s="33" t="s">
        <v>550</v>
      </c>
      <c r="BJ191" s="12"/>
    </row>
    <row r="192" spans="1:62"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85"/>
      <c r="AQ192" s="821"/>
      <c r="AR192" s="980"/>
      <c r="AS192" s="820"/>
      <c r="AT192" s="980"/>
      <c r="AU192" s="980"/>
      <c r="AV192" s="980"/>
      <c r="AW192" s="980"/>
      <c r="AX192" s="980"/>
      <c r="AY192" s="980"/>
      <c r="AZ192" s="980"/>
      <c r="BA192" s="980"/>
      <c r="BB192" s="980"/>
      <c r="BC192" s="980"/>
      <c r="BD192" s="980"/>
      <c r="BE192" s="980"/>
      <c r="BF192" s="980"/>
      <c r="BG192" s="980"/>
      <c r="BH192" s="980"/>
      <c r="BI192" s="515"/>
      <c r="BJ192" s="103"/>
    </row>
    <row r="193" spans="1:62"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646"/>
      <c r="AQ193" s="819"/>
      <c r="AR193" s="979"/>
      <c r="AS193" s="820"/>
      <c r="AT193" s="980"/>
      <c r="AU193" s="980"/>
      <c r="AV193" s="980"/>
      <c r="AW193" s="980"/>
      <c r="AX193" s="980"/>
      <c r="AY193" s="980"/>
      <c r="AZ193" s="980"/>
      <c r="BA193" s="980"/>
      <c r="BB193" s="980"/>
      <c r="BC193" s="980"/>
      <c r="BD193" s="980"/>
      <c r="BE193" s="980"/>
      <c r="BF193" s="980"/>
      <c r="BG193" s="980"/>
      <c r="BH193" s="980"/>
      <c r="BI193" s="515"/>
      <c r="BJ193" s="103"/>
    </row>
    <row r="194" spans="1:62"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2958</v>
      </c>
      <c r="AD194" s="146" t="s">
        <v>2958</v>
      </c>
      <c r="AE194" s="184" t="str">
        <f>OBRA!Y192</f>
        <v>ING. RIGOBERTO OLMEDO RAMOS</v>
      </c>
      <c r="AF194" s="555">
        <v>1</v>
      </c>
      <c r="AG194" s="2" t="s">
        <v>1462</v>
      </c>
      <c r="AH194" s="184">
        <f t="shared" si="4"/>
        <v>1779922.8</v>
      </c>
      <c r="AI194" s="2">
        <v>3500</v>
      </c>
      <c r="AJ194" s="156" t="s">
        <v>1451</v>
      </c>
      <c r="AK194" s="514"/>
      <c r="AL194" s="514"/>
      <c r="AM194" s="514"/>
      <c r="AN194" s="785"/>
      <c r="AO194" s="467" t="s">
        <v>1863</v>
      </c>
      <c r="AP194" s="467" t="s">
        <v>1864</v>
      </c>
      <c r="AQ194" s="527" t="s">
        <v>1865</v>
      </c>
      <c r="AR194" s="1324"/>
      <c r="AS194" s="697" t="s">
        <v>1866</v>
      </c>
      <c r="AT194" s="502"/>
      <c r="AU194" s="502"/>
      <c r="AV194" s="502"/>
      <c r="AW194" s="502"/>
      <c r="AX194" s="502"/>
      <c r="AY194" s="502"/>
      <c r="AZ194" s="502"/>
      <c r="BA194" s="502"/>
      <c r="BB194" s="502"/>
      <c r="BC194" s="502"/>
      <c r="BD194" s="502"/>
      <c r="BE194" s="502"/>
      <c r="BF194" s="502"/>
      <c r="BG194" s="502"/>
      <c r="BH194" s="502"/>
      <c r="BI194" s="33" t="s">
        <v>1480</v>
      </c>
      <c r="BJ194" s="1"/>
    </row>
    <row r="195" spans="1:62"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2958</v>
      </c>
      <c r="AD195" s="146" t="s">
        <v>2958</v>
      </c>
      <c r="AE195" s="184" t="str">
        <f>OBRA!Y193</f>
        <v>ARQ. FRANCISCO SALAZAR</v>
      </c>
      <c r="AF195" s="555">
        <v>1</v>
      </c>
      <c r="AG195" s="2" t="s">
        <v>1573</v>
      </c>
      <c r="AH195" s="184">
        <f t="shared" si="4"/>
        <v>1800176.82</v>
      </c>
      <c r="AI195" s="2">
        <v>18000</v>
      </c>
      <c r="AJ195" s="156" t="s">
        <v>1451</v>
      </c>
      <c r="AK195" s="514"/>
      <c r="AL195" s="514"/>
      <c r="AM195" s="514"/>
      <c r="AN195" s="881"/>
      <c r="AO195" s="624" t="s">
        <v>1870</v>
      </c>
      <c r="AP195" s="624" t="s">
        <v>1871</v>
      </c>
      <c r="AQ195" s="624" t="s">
        <v>1872</v>
      </c>
      <c r="AR195" s="1942"/>
      <c r="AS195" s="697" t="s">
        <v>1844</v>
      </c>
      <c r="AT195" s="502"/>
      <c r="AU195" s="502"/>
      <c r="AV195" s="502"/>
      <c r="AW195" s="502"/>
      <c r="AX195" s="502"/>
      <c r="AY195" s="502"/>
      <c r="AZ195" s="502"/>
      <c r="BA195" s="502"/>
      <c r="BB195" s="502"/>
      <c r="BC195" s="502"/>
      <c r="BD195" s="502"/>
      <c r="BE195" s="502"/>
      <c r="BF195" s="502"/>
      <c r="BG195" s="502"/>
      <c r="BH195" s="502"/>
      <c r="BI195" s="33" t="s">
        <v>550</v>
      </c>
      <c r="BJ195" s="12"/>
    </row>
    <row r="196" spans="1:62"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2"/>
      <c r="AQ196" s="563"/>
      <c r="AR196" s="786"/>
      <c r="AS196" s="694"/>
      <c r="AT196" s="786"/>
      <c r="AU196" s="786"/>
      <c r="AV196" s="786"/>
      <c r="AW196" s="786"/>
      <c r="AX196" s="786"/>
      <c r="AY196" s="786"/>
      <c r="AZ196" s="786"/>
      <c r="BA196" s="786"/>
      <c r="BB196" s="786"/>
      <c r="BC196" s="786"/>
      <c r="BD196" s="786"/>
      <c r="BE196" s="786"/>
      <c r="BF196" s="786"/>
      <c r="BG196" s="786"/>
      <c r="BH196" s="786"/>
      <c r="BI196" s="514"/>
      <c r="BJ196" s="12"/>
    </row>
    <row r="197" spans="1:62"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2"/>
      <c r="AQ197" s="563"/>
      <c r="AR197" s="786"/>
      <c r="AS197" s="694"/>
      <c r="AT197" s="786"/>
      <c r="AU197" s="786"/>
      <c r="AV197" s="786"/>
      <c r="AW197" s="786"/>
      <c r="AX197" s="786"/>
      <c r="AY197" s="786"/>
      <c r="AZ197" s="786"/>
      <c r="BA197" s="786"/>
      <c r="BB197" s="786"/>
      <c r="BC197" s="786"/>
      <c r="BD197" s="786"/>
      <c r="BE197" s="786"/>
      <c r="BF197" s="786"/>
      <c r="BG197" s="786"/>
      <c r="BH197" s="786"/>
      <c r="BI197" s="514"/>
      <c r="BJ197" s="12"/>
    </row>
    <row r="198" spans="1:62"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2"/>
      <c r="AQ198" s="563"/>
      <c r="AR198" s="786"/>
      <c r="AS198" s="694"/>
      <c r="AT198" s="786"/>
      <c r="AU198" s="786"/>
      <c r="AV198" s="786"/>
      <c r="AW198" s="786"/>
      <c r="AX198" s="786"/>
      <c r="AY198" s="786"/>
      <c r="AZ198" s="786"/>
      <c r="BA198" s="786"/>
      <c r="BB198" s="786"/>
      <c r="BC198" s="786"/>
      <c r="BD198" s="786"/>
      <c r="BE198" s="786"/>
      <c r="BF198" s="786"/>
      <c r="BG198" s="786"/>
      <c r="BH198" s="786"/>
      <c r="BI198" s="514"/>
      <c r="BJ198" s="12"/>
    </row>
    <row r="199" spans="1:62"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2535</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2"/>
      <c r="AQ199" s="563"/>
      <c r="AR199" s="786"/>
      <c r="AS199" s="694"/>
      <c r="AT199" s="786"/>
      <c r="AU199" s="786"/>
      <c r="AV199" s="786"/>
      <c r="AW199" s="786"/>
      <c r="AX199" s="786"/>
      <c r="AY199" s="786"/>
      <c r="AZ199" s="786"/>
      <c r="BA199" s="786"/>
      <c r="BB199" s="786"/>
      <c r="BC199" s="786"/>
      <c r="BD199" s="786"/>
      <c r="BE199" s="786"/>
      <c r="BF199" s="786"/>
      <c r="BG199" s="786"/>
      <c r="BH199" s="786"/>
      <c r="BI199" s="514"/>
      <c r="BJ199" s="12"/>
    </row>
    <row r="200" spans="1:62"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2535</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2"/>
      <c r="AQ200" s="563"/>
      <c r="AR200" s="786"/>
      <c r="AS200" s="694"/>
      <c r="AT200" s="786"/>
      <c r="AU200" s="786"/>
      <c r="AV200" s="786"/>
      <c r="AW200" s="786"/>
      <c r="AX200" s="786"/>
      <c r="AY200" s="786"/>
      <c r="AZ200" s="786"/>
      <c r="BA200" s="786"/>
      <c r="BB200" s="786"/>
      <c r="BC200" s="786"/>
      <c r="BD200" s="786"/>
      <c r="BE200" s="786"/>
      <c r="BF200" s="786"/>
      <c r="BG200" s="786"/>
      <c r="BH200" s="786"/>
      <c r="BI200" s="514"/>
      <c r="BJ200" s="12"/>
    </row>
    <row r="201" spans="1:62"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2535</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2"/>
      <c r="AQ201" s="563"/>
      <c r="AR201" s="786"/>
      <c r="AS201" s="694"/>
      <c r="AT201" s="786"/>
      <c r="AU201" s="786"/>
      <c r="AV201" s="786"/>
      <c r="AW201" s="786"/>
      <c r="AX201" s="786"/>
      <c r="AY201" s="786"/>
      <c r="AZ201" s="786"/>
      <c r="BA201" s="786"/>
      <c r="BB201" s="786"/>
      <c r="BC201" s="786"/>
      <c r="BD201" s="786"/>
      <c r="BE201" s="786"/>
      <c r="BF201" s="786"/>
      <c r="BG201" s="786"/>
      <c r="BH201" s="786"/>
      <c r="BI201" s="514"/>
      <c r="BJ201" s="12"/>
    </row>
    <row r="202" spans="1:62"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2"/>
      <c r="AQ202" s="563"/>
      <c r="AR202" s="786"/>
      <c r="AS202" s="694"/>
      <c r="AT202" s="786"/>
      <c r="AU202" s="786"/>
      <c r="AV202" s="786"/>
      <c r="AW202" s="786"/>
      <c r="AX202" s="786"/>
      <c r="AY202" s="786"/>
      <c r="AZ202" s="786"/>
      <c r="BA202" s="786"/>
      <c r="BB202" s="786"/>
      <c r="BC202" s="786"/>
      <c r="BD202" s="786"/>
      <c r="BE202" s="786"/>
      <c r="BF202" s="786"/>
      <c r="BG202" s="786"/>
      <c r="BH202" s="786"/>
      <c r="BI202" s="514"/>
      <c r="BJ202" s="12"/>
    </row>
    <row r="203" spans="1:62"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2535</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2"/>
      <c r="AQ203" s="563"/>
      <c r="AR203" s="786"/>
      <c r="AS203" s="694"/>
      <c r="AT203" s="786"/>
      <c r="AU203" s="786"/>
      <c r="AV203" s="786"/>
      <c r="AW203" s="786"/>
      <c r="AX203" s="786"/>
      <c r="AY203" s="786"/>
      <c r="AZ203" s="786"/>
      <c r="BA203" s="786"/>
      <c r="BB203" s="786"/>
      <c r="BC203" s="786"/>
      <c r="BD203" s="786"/>
      <c r="BE203" s="786"/>
      <c r="BF203" s="786"/>
      <c r="BG203" s="786"/>
      <c r="BH203" s="786"/>
      <c r="BI203" s="514"/>
      <c r="BJ203" s="12"/>
    </row>
    <row r="204" spans="1:62"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2541</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2"/>
      <c r="AQ204" s="563"/>
      <c r="AR204" s="786"/>
      <c r="AS204" s="694"/>
      <c r="AT204" s="786"/>
      <c r="AU204" s="786"/>
      <c r="AV204" s="786"/>
      <c r="AW204" s="786"/>
      <c r="AX204" s="786"/>
      <c r="AY204" s="786"/>
      <c r="AZ204" s="786"/>
      <c r="BA204" s="786"/>
      <c r="BB204" s="786"/>
      <c r="BC204" s="786"/>
      <c r="BD204" s="786"/>
      <c r="BE204" s="786"/>
      <c r="BF204" s="786"/>
      <c r="BG204" s="786"/>
      <c r="BH204" s="786"/>
      <c r="BI204" s="514"/>
      <c r="BJ204" s="12"/>
    </row>
    <row r="205" spans="1:62"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2607</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2"/>
      <c r="AQ205" s="563"/>
      <c r="AR205" s="786"/>
      <c r="AS205" s="694"/>
      <c r="AT205" s="786"/>
      <c r="AU205" s="786"/>
      <c r="AV205" s="786"/>
      <c r="AW205" s="786"/>
      <c r="AX205" s="786"/>
      <c r="AY205" s="786"/>
      <c r="AZ205" s="786"/>
      <c r="BA205" s="786"/>
      <c r="BB205" s="786"/>
      <c r="BC205" s="786"/>
      <c r="BD205" s="786"/>
      <c r="BE205" s="786"/>
      <c r="BF205" s="786"/>
      <c r="BG205" s="786"/>
      <c r="BH205" s="786"/>
      <c r="BI205" s="514"/>
      <c r="BJ205" s="12"/>
    </row>
    <row r="206" spans="1:62"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2607</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2"/>
      <c r="AQ206" s="563"/>
      <c r="AR206" s="786"/>
      <c r="AS206" s="694"/>
      <c r="AT206" s="786"/>
      <c r="AU206" s="786"/>
      <c r="AV206" s="786"/>
      <c r="AW206" s="786"/>
      <c r="AX206" s="786"/>
      <c r="AY206" s="786"/>
      <c r="AZ206" s="786"/>
      <c r="BA206" s="786"/>
      <c r="BB206" s="786"/>
      <c r="BC206" s="786"/>
      <c r="BD206" s="786"/>
      <c r="BE206" s="786"/>
      <c r="BF206" s="786"/>
      <c r="BG206" s="786"/>
      <c r="BH206" s="786"/>
      <c r="BI206" s="514"/>
      <c r="BJ206" s="12"/>
    </row>
    <row r="207" spans="1:62"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2535</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2"/>
      <c r="AQ207" s="563"/>
      <c r="AR207" s="786"/>
      <c r="AS207" s="694"/>
      <c r="AT207" s="786"/>
      <c r="AU207" s="786"/>
      <c r="AV207" s="786"/>
      <c r="AW207" s="786"/>
      <c r="AX207" s="786"/>
      <c r="AY207" s="786"/>
      <c r="AZ207" s="786"/>
      <c r="BA207" s="786"/>
      <c r="BB207" s="786"/>
      <c r="BC207" s="786"/>
      <c r="BD207" s="786"/>
      <c r="BE207" s="786"/>
      <c r="BF207" s="786"/>
      <c r="BG207" s="786"/>
      <c r="BH207" s="786"/>
      <c r="BI207" s="514"/>
      <c r="BJ207" s="12"/>
    </row>
    <row r="208" spans="1:62"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2535</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172"/>
      <c r="AQ208" s="787"/>
      <c r="AR208" s="981"/>
      <c r="AS208" s="694"/>
      <c r="AT208" s="981"/>
      <c r="AU208" s="981"/>
      <c r="AV208" s="981"/>
      <c r="AW208" s="981"/>
      <c r="AX208" s="981"/>
      <c r="AY208" s="981"/>
      <c r="AZ208" s="981"/>
      <c r="BA208" s="981"/>
      <c r="BB208" s="981"/>
      <c r="BC208" s="981"/>
      <c r="BD208" s="981"/>
      <c r="BE208" s="981"/>
      <c r="BF208" s="981"/>
      <c r="BG208" s="981"/>
      <c r="BH208" s="981"/>
      <c r="BI208" s="529"/>
      <c r="BJ208" s="12"/>
    </row>
    <row r="209" spans="1:62" ht="96.75" hidden="1" customHeight="1">
      <c r="A209" s="16">
        <f>OBRA!K207</f>
        <v>2017</v>
      </c>
      <c r="B209" s="781" t="s">
        <v>1563</v>
      </c>
      <c r="C209" s="781"/>
      <c r="D209" s="781"/>
      <c r="E209" s="2" t="str">
        <f>OBRA!N207</f>
        <v>FONDEREG</v>
      </c>
      <c r="F209" s="605" t="s">
        <v>3223</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3488</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1239"/>
      <c r="AO209" s="529"/>
      <c r="AP209" s="172"/>
      <c r="AQ209" s="787"/>
      <c r="AR209" s="981"/>
      <c r="AS209" s="694"/>
      <c r="AT209" s="981"/>
      <c r="AU209" s="981"/>
      <c r="AV209" s="981"/>
      <c r="AW209" s="981"/>
      <c r="AX209" s="981"/>
      <c r="AY209" s="981"/>
      <c r="AZ209" s="981"/>
      <c r="BA209" s="981"/>
      <c r="BB209" s="981"/>
      <c r="BC209" s="981"/>
      <c r="BD209" s="981"/>
      <c r="BE209" s="981"/>
      <c r="BF209" s="981"/>
      <c r="BG209" s="981"/>
      <c r="BH209" s="981"/>
      <c r="BI209" s="529"/>
      <c r="BJ209" s="12"/>
    </row>
    <row r="210" spans="1:62" ht="96.75" hidden="1" customHeight="1">
      <c r="A210" s="16">
        <f>OBRA!K208</f>
        <v>2017</v>
      </c>
      <c r="B210" s="781" t="s">
        <v>1563</v>
      </c>
      <c r="C210" s="781"/>
      <c r="D210" s="781"/>
      <c r="E210" s="2" t="str">
        <f>OBRA!N208</f>
        <v>FOCOCI</v>
      </c>
      <c r="F210" s="605" t="s">
        <v>3222</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3488</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1239"/>
      <c r="AO210" s="529"/>
      <c r="AP210" s="172"/>
      <c r="AQ210" s="787"/>
      <c r="AR210" s="981"/>
      <c r="AS210" s="694"/>
      <c r="AT210" s="981"/>
      <c r="AU210" s="981"/>
      <c r="AV210" s="981"/>
      <c r="AW210" s="981"/>
      <c r="AX210" s="981"/>
      <c r="AY210" s="981"/>
      <c r="AZ210" s="981"/>
      <c r="BA210" s="981"/>
      <c r="BB210" s="981"/>
      <c r="BC210" s="981"/>
      <c r="BD210" s="981"/>
      <c r="BE210" s="981"/>
      <c r="BF210" s="981"/>
      <c r="BG210" s="981"/>
      <c r="BH210" s="981"/>
      <c r="BI210" s="529"/>
      <c r="BJ210" s="12"/>
    </row>
    <row r="211" spans="1:62" ht="96.75" hidden="1" customHeight="1">
      <c r="A211" s="16">
        <f>OBRA!K209</f>
        <v>2017</v>
      </c>
      <c r="B211" s="781" t="s">
        <v>1563</v>
      </c>
      <c r="C211" s="781"/>
      <c r="D211" s="781"/>
      <c r="E211" s="2" t="str">
        <f>OBRA!N209</f>
        <v xml:space="preserve">PROYECTOS DESARROLLO REGIONAL </v>
      </c>
      <c r="F211" s="605" t="s">
        <v>3226</v>
      </c>
      <c r="G211" s="38" t="s">
        <v>67</v>
      </c>
      <c r="H211" s="33" t="str">
        <f>OBRA!O209</f>
        <v xml:space="preserve">PROYECTOS DESARROLLO REGIONAL </v>
      </c>
      <c r="I211" s="2" t="str">
        <f>OBRA!P209</f>
        <v>CONVENIO</v>
      </c>
      <c r="J211" s="3" t="str">
        <f>OBRA!Q209</f>
        <v>-</v>
      </c>
      <c r="K211" s="544" t="s">
        <v>67</v>
      </c>
      <c r="L211" s="544"/>
      <c r="M211" s="544" t="s">
        <v>67</v>
      </c>
      <c r="N211" s="544"/>
      <c r="O211" s="505" t="s">
        <v>3488</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1239"/>
      <c r="AO211" s="529"/>
      <c r="AP211" s="172"/>
      <c r="AQ211" s="787"/>
      <c r="AR211" s="981"/>
      <c r="AS211" s="694"/>
      <c r="AT211" s="981"/>
      <c r="AU211" s="981"/>
      <c r="AV211" s="981"/>
      <c r="AW211" s="981"/>
      <c r="AX211" s="981"/>
      <c r="AY211" s="981"/>
      <c r="AZ211" s="981"/>
      <c r="BA211" s="981"/>
      <c r="BB211" s="981"/>
      <c r="BC211" s="981"/>
      <c r="BD211" s="981"/>
      <c r="BE211" s="981"/>
      <c r="BF211" s="981"/>
      <c r="BG211" s="981"/>
      <c r="BH211" s="981"/>
      <c r="BI211" s="529"/>
      <c r="BJ211" s="12"/>
    </row>
    <row r="212" spans="1:62" ht="267" hidden="1" customHeight="1">
      <c r="A212" s="16">
        <f>OBRA!K210</f>
        <v>2017</v>
      </c>
      <c r="B212" s="781" t="s">
        <v>1563</v>
      </c>
      <c r="C212" s="781"/>
      <c r="D212" s="781"/>
      <c r="E212" s="2" t="str">
        <f>OBRA!N210</f>
        <v xml:space="preserve">PROYECTOS DESARROLLO REGIONAL </v>
      </c>
      <c r="F212" s="605" t="s">
        <v>3227</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3229</v>
      </c>
      <c r="N212" s="3" t="s">
        <v>1975</v>
      </c>
      <c r="O212" s="505" t="s">
        <v>3488</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1239"/>
      <c r="AO212" s="529"/>
      <c r="AP212" s="172"/>
      <c r="AQ212" s="787"/>
      <c r="AR212" s="981"/>
      <c r="AS212" s="694"/>
      <c r="AT212" s="981"/>
      <c r="AU212" s="981"/>
      <c r="AV212" s="981"/>
      <c r="AW212" s="981"/>
      <c r="AX212" s="981"/>
      <c r="AY212" s="981"/>
      <c r="AZ212" s="981"/>
      <c r="BA212" s="981"/>
      <c r="BB212" s="981"/>
      <c r="BC212" s="981"/>
      <c r="BD212" s="981"/>
      <c r="BE212" s="981"/>
      <c r="BF212" s="981"/>
      <c r="BG212" s="981"/>
      <c r="BH212" s="981"/>
      <c r="BI212" s="529"/>
      <c r="BJ212" s="12"/>
    </row>
    <row r="213" spans="1:62"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1240"/>
      <c r="AO213" s="624" t="s">
        <v>1874</v>
      </c>
      <c r="AP213" s="624" t="s">
        <v>1875</v>
      </c>
      <c r="AQ213" s="467" t="s">
        <v>1876</v>
      </c>
      <c r="AR213" s="1319"/>
      <c r="AS213" s="692" t="s">
        <v>1877</v>
      </c>
      <c r="AT213" s="785"/>
      <c r="AU213" s="785"/>
      <c r="AV213" s="785"/>
      <c r="AW213" s="785"/>
      <c r="AX213" s="785"/>
      <c r="AY213" s="785"/>
      <c r="AZ213" s="785"/>
      <c r="BA213" s="785"/>
      <c r="BB213" s="785"/>
      <c r="BC213" s="785"/>
      <c r="BD213" s="785"/>
      <c r="BE213" s="785"/>
      <c r="BF213" s="785"/>
      <c r="BG213" s="785"/>
      <c r="BH213" s="785"/>
      <c r="BI213" s="33" t="s">
        <v>550</v>
      </c>
      <c r="BJ213" s="12"/>
    </row>
    <row r="214" spans="1:62"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2527</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1240"/>
      <c r="AO214" s="624" t="s">
        <v>1880</v>
      </c>
      <c r="AP214" s="624" t="s">
        <v>1881</v>
      </c>
      <c r="AQ214" s="467" t="s">
        <v>1882</v>
      </c>
      <c r="AR214" s="1319"/>
      <c r="AS214" s="693"/>
      <c r="AT214" s="784"/>
      <c r="AU214" s="784"/>
      <c r="AV214" s="784"/>
      <c r="AW214" s="784"/>
      <c r="AX214" s="784"/>
      <c r="AY214" s="784"/>
      <c r="AZ214" s="784"/>
      <c r="BA214" s="784"/>
      <c r="BB214" s="784"/>
      <c r="BC214" s="784"/>
      <c r="BD214" s="784"/>
      <c r="BE214" s="784"/>
      <c r="BF214" s="784"/>
      <c r="BG214" s="784"/>
      <c r="BH214" s="784"/>
      <c r="BI214" s="33" t="s">
        <v>1294</v>
      </c>
      <c r="BJ214" s="12"/>
    </row>
    <row r="215" spans="1:62"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2509</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1240"/>
      <c r="AO215" s="532"/>
      <c r="AP215" s="532"/>
      <c r="AQ215" s="467" t="s">
        <v>1884</v>
      </c>
      <c r="AR215" s="1319"/>
      <c r="AS215" s="692" t="s">
        <v>1885</v>
      </c>
      <c r="AT215" s="785"/>
      <c r="AU215" s="785"/>
      <c r="AV215" s="785"/>
      <c r="AW215" s="785"/>
      <c r="AX215" s="785"/>
      <c r="AY215" s="785"/>
      <c r="AZ215" s="785"/>
      <c r="BA215" s="785"/>
      <c r="BB215" s="785"/>
      <c r="BC215" s="785"/>
      <c r="BD215" s="785"/>
      <c r="BE215" s="785"/>
      <c r="BF215" s="785"/>
      <c r="BG215" s="785"/>
      <c r="BH215" s="785"/>
      <c r="BI215" s="33" t="s">
        <v>1294</v>
      </c>
      <c r="BJ215" s="12"/>
    </row>
    <row r="216" spans="1:62"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2527</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1240"/>
      <c r="AO216" s="532"/>
      <c r="AP216" s="624" t="s">
        <v>1887</v>
      </c>
      <c r="AQ216" s="467" t="s">
        <v>1888</v>
      </c>
      <c r="AR216" s="1319"/>
      <c r="AS216" s="692" t="s">
        <v>1889</v>
      </c>
      <c r="AT216" s="785"/>
      <c r="AU216" s="785"/>
      <c r="AV216" s="785"/>
      <c r="AW216" s="785"/>
      <c r="AX216" s="785"/>
      <c r="AY216" s="785"/>
      <c r="AZ216" s="785"/>
      <c r="BA216" s="785"/>
      <c r="BB216" s="785"/>
      <c r="BC216" s="785"/>
      <c r="BD216" s="785"/>
      <c r="BE216" s="785"/>
      <c r="BF216" s="785"/>
      <c r="BG216" s="785"/>
      <c r="BH216" s="785"/>
      <c r="BI216" s="33" t="s">
        <v>1294</v>
      </c>
      <c r="BJ216" s="12"/>
    </row>
    <row r="217" spans="1:62"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2518</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1240"/>
      <c r="AO217" s="624" t="s">
        <v>1892</v>
      </c>
      <c r="AP217" s="624" t="s">
        <v>1893</v>
      </c>
      <c r="AQ217" s="467" t="s">
        <v>1894</v>
      </c>
      <c r="AR217" s="1319"/>
      <c r="AS217" s="693"/>
      <c r="AT217" s="784"/>
      <c r="AU217" s="784"/>
      <c r="AV217" s="784"/>
      <c r="AW217" s="784"/>
      <c r="AX217" s="784"/>
      <c r="AY217" s="784"/>
      <c r="AZ217" s="784"/>
      <c r="BA217" s="784"/>
      <c r="BB217" s="784"/>
      <c r="BC217" s="784"/>
      <c r="BD217" s="784"/>
      <c r="BE217" s="784"/>
      <c r="BF217" s="784"/>
      <c r="BG217" s="784"/>
      <c r="BH217" s="784"/>
      <c r="BI217" s="33" t="s">
        <v>1294</v>
      </c>
      <c r="BJ217" s="12"/>
    </row>
    <row r="218" spans="1:62"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1239"/>
      <c r="AO218" s="530"/>
      <c r="AP218" s="646"/>
      <c r="AQ218" s="819"/>
      <c r="AR218" s="979"/>
      <c r="AS218" s="820"/>
      <c r="AT218" s="980"/>
      <c r="AU218" s="980"/>
      <c r="AV218" s="980"/>
      <c r="AW218" s="980"/>
      <c r="AX218" s="980"/>
      <c r="AY218" s="980"/>
      <c r="AZ218" s="980"/>
      <c r="BA218" s="980"/>
      <c r="BB218" s="980"/>
      <c r="BC218" s="980"/>
      <c r="BD218" s="980"/>
      <c r="BE218" s="980"/>
      <c r="BF218" s="980"/>
      <c r="BG218" s="980"/>
      <c r="BH218" s="980"/>
      <c r="BI218" s="422"/>
      <c r="BJ218" s="103"/>
    </row>
    <row r="219" spans="1:62"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2518</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1240"/>
      <c r="AO219" s="532"/>
      <c r="AP219" s="532"/>
      <c r="AQ219" s="532"/>
      <c r="AR219" s="1943"/>
      <c r="AS219" s="693"/>
      <c r="AT219" s="784"/>
      <c r="AU219" s="784"/>
      <c r="AV219" s="784"/>
      <c r="AW219" s="784"/>
      <c r="AX219" s="784"/>
      <c r="AY219" s="784"/>
      <c r="AZ219" s="784"/>
      <c r="BA219" s="784"/>
      <c r="BB219" s="784"/>
      <c r="BC219" s="784"/>
      <c r="BD219" s="784"/>
      <c r="BE219" s="784"/>
      <c r="BF219" s="784"/>
      <c r="BG219" s="784"/>
      <c r="BH219" s="784"/>
      <c r="BI219" s="33" t="s">
        <v>1294</v>
      </c>
      <c r="BJ219" s="12"/>
    </row>
    <row r="220" spans="1:62"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1240"/>
      <c r="AO220" s="624" t="s">
        <v>1897</v>
      </c>
      <c r="AP220" s="624" t="s">
        <v>1898</v>
      </c>
      <c r="AQ220" s="467" t="s">
        <v>1899</v>
      </c>
      <c r="AR220" s="1319"/>
      <c r="AS220" s="694" t="s">
        <v>1900</v>
      </c>
      <c r="AT220" s="786"/>
      <c r="AU220" s="786"/>
      <c r="AV220" s="786"/>
      <c r="AW220" s="786"/>
      <c r="AX220" s="786"/>
      <c r="AY220" s="786"/>
      <c r="AZ220" s="786"/>
      <c r="BA220" s="786"/>
      <c r="BB220" s="786"/>
      <c r="BC220" s="786"/>
      <c r="BD220" s="786"/>
      <c r="BE220" s="786"/>
      <c r="BF220" s="786"/>
      <c r="BG220" s="786"/>
      <c r="BH220" s="786"/>
      <c r="BI220" s="33" t="s">
        <v>550</v>
      </c>
      <c r="BJ220" s="12"/>
    </row>
    <row r="221" spans="1:62"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2607</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1240"/>
      <c r="AO221" s="624" t="s">
        <v>1902</v>
      </c>
      <c r="AP221" s="624" t="s">
        <v>1903</v>
      </c>
      <c r="AQ221" s="467" t="s">
        <v>1904</v>
      </c>
      <c r="AR221" s="1319"/>
      <c r="AS221" s="692" t="s">
        <v>1905</v>
      </c>
      <c r="AT221" s="785"/>
      <c r="AU221" s="785"/>
      <c r="AV221" s="785"/>
      <c r="AW221" s="785"/>
      <c r="AX221" s="785"/>
      <c r="AY221" s="785"/>
      <c r="AZ221" s="785"/>
      <c r="BA221" s="785"/>
      <c r="BB221" s="785"/>
      <c r="BC221" s="785"/>
      <c r="BD221" s="785"/>
      <c r="BE221" s="785"/>
      <c r="BF221" s="785"/>
      <c r="BG221" s="785"/>
      <c r="BH221" s="785"/>
      <c r="BI221" s="33" t="s">
        <v>550</v>
      </c>
      <c r="BJ221" s="12"/>
    </row>
    <row r="222" spans="1:62"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2607</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1240"/>
      <c r="AO222" s="624" t="s">
        <v>1906</v>
      </c>
      <c r="AP222" s="624" t="s">
        <v>1907</v>
      </c>
      <c r="AQ222" s="467" t="s">
        <v>1908</v>
      </c>
      <c r="AR222" s="1319"/>
      <c r="AS222" s="692" t="s">
        <v>1909</v>
      </c>
      <c r="AT222" s="785"/>
      <c r="AU222" s="785"/>
      <c r="AV222" s="785"/>
      <c r="AW222" s="785"/>
      <c r="AX222" s="785"/>
      <c r="AY222" s="785"/>
      <c r="AZ222" s="785"/>
      <c r="BA222" s="785"/>
      <c r="BB222" s="785"/>
      <c r="BC222" s="785"/>
      <c r="BD222" s="785"/>
      <c r="BE222" s="785"/>
      <c r="BF222" s="785"/>
      <c r="BG222" s="785"/>
      <c r="BH222" s="785"/>
      <c r="BI222" s="33" t="s">
        <v>550</v>
      </c>
      <c r="BJ222" s="12"/>
    </row>
    <row r="223" spans="1:62"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2527</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1240"/>
      <c r="AO223" s="532"/>
      <c r="AP223" s="532"/>
      <c r="AQ223" s="467" t="s">
        <v>1912</v>
      </c>
      <c r="AR223" s="1319"/>
      <c r="AS223" s="693"/>
      <c r="AT223" s="982"/>
      <c r="AU223" s="982"/>
      <c r="AV223" s="982"/>
      <c r="AW223" s="982"/>
      <c r="AX223" s="982"/>
      <c r="AY223" s="982"/>
      <c r="AZ223" s="982"/>
      <c r="BA223" s="982"/>
      <c r="BB223" s="982"/>
      <c r="BC223" s="982"/>
      <c r="BD223" s="982"/>
      <c r="BE223" s="982"/>
      <c r="BF223" s="982"/>
      <c r="BG223" s="982"/>
      <c r="BH223" s="982"/>
      <c r="BI223" s="54" t="s">
        <v>1294</v>
      </c>
      <c r="BJ223" s="12"/>
    </row>
    <row r="224" spans="1:62"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07"/>
      <c r="AO224" s="515"/>
      <c r="AP224" s="85"/>
      <c r="AQ224" s="821"/>
      <c r="AR224" s="980"/>
      <c r="AS224" s="820"/>
      <c r="AT224" s="983"/>
      <c r="AU224" s="983"/>
      <c r="AV224" s="983"/>
      <c r="AW224" s="983"/>
      <c r="AX224" s="983"/>
      <c r="AY224" s="983"/>
      <c r="AZ224" s="983"/>
      <c r="BA224" s="983"/>
      <c r="BB224" s="983"/>
      <c r="BC224" s="983"/>
      <c r="BD224" s="983"/>
      <c r="BE224" s="983"/>
      <c r="BF224" s="983"/>
      <c r="BG224" s="983"/>
      <c r="BH224" s="983"/>
      <c r="BI224" s="147"/>
      <c r="BJ224" s="103"/>
    </row>
    <row r="225" spans="1:62"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1239"/>
      <c r="AO225" s="530"/>
      <c r="AP225" s="646"/>
      <c r="AQ225" s="819"/>
      <c r="AR225" s="979"/>
      <c r="AS225" s="820"/>
      <c r="AT225" s="983"/>
      <c r="AU225" s="983"/>
      <c r="AV225" s="983"/>
      <c r="AW225" s="983"/>
      <c r="AX225" s="983"/>
      <c r="AY225" s="983"/>
      <c r="AZ225" s="983"/>
      <c r="BA225" s="983"/>
      <c r="BB225" s="983"/>
      <c r="BC225" s="983"/>
      <c r="BD225" s="983"/>
      <c r="BE225" s="983"/>
      <c r="BF225" s="983"/>
      <c r="BG225" s="983"/>
      <c r="BH225" s="983"/>
      <c r="BI225" s="147"/>
      <c r="BJ225" s="103"/>
    </row>
    <row r="226" spans="1:62"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1240"/>
      <c r="AO226" s="532"/>
      <c r="AP226" s="532"/>
      <c r="AQ226" s="467" t="s">
        <v>1915</v>
      </c>
      <c r="AR226" s="1319"/>
      <c r="AS226" s="693"/>
      <c r="AT226" s="784"/>
      <c r="AU226" s="784"/>
      <c r="AV226" s="784"/>
      <c r="AW226" s="784"/>
      <c r="AX226" s="784"/>
      <c r="AY226" s="784"/>
      <c r="AZ226" s="784"/>
      <c r="BA226" s="784"/>
      <c r="BB226" s="784"/>
      <c r="BC226" s="784"/>
      <c r="BD226" s="784"/>
      <c r="BE226" s="784"/>
      <c r="BF226" s="784"/>
      <c r="BG226" s="784"/>
      <c r="BH226" s="784"/>
      <c r="BI226" s="33" t="s">
        <v>1294</v>
      </c>
      <c r="BJ226" s="12"/>
    </row>
    <row r="227" spans="1:62"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1239"/>
      <c r="AO227" s="530"/>
      <c r="AP227" s="646"/>
      <c r="AQ227" s="819"/>
      <c r="AR227" s="979"/>
      <c r="AS227" s="820"/>
      <c r="AT227" s="983"/>
      <c r="AU227" s="983"/>
      <c r="AV227" s="983"/>
      <c r="AW227" s="983"/>
      <c r="AX227" s="983"/>
      <c r="AY227" s="983"/>
      <c r="AZ227" s="983"/>
      <c r="BA227" s="983"/>
      <c r="BB227" s="983"/>
      <c r="BC227" s="983"/>
      <c r="BD227" s="983"/>
      <c r="BE227" s="983"/>
      <c r="BF227" s="983"/>
      <c r="BG227" s="983"/>
      <c r="BH227" s="983"/>
      <c r="BI227" s="147"/>
      <c r="BJ227" s="103"/>
    </row>
    <row r="228" spans="1:62"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3489</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1240"/>
      <c r="AO228" s="874"/>
      <c r="AP228" s="874"/>
      <c r="AQ228" s="888"/>
      <c r="AR228" s="508"/>
      <c r="AS228" s="1253"/>
      <c r="AT228" s="503"/>
      <c r="AU228" s="503"/>
      <c r="AV228" s="503"/>
      <c r="AW228" s="503"/>
      <c r="AX228" s="503"/>
      <c r="AY228" s="503"/>
      <c r="AZ228" s="503"/>
      <c r="BA228" s="503"/>
      <c r="BB228" s="503"/>
      <c r="BC228" s="503"/>
      <c r="BD228" s="503"/>
      <c r="BE228" s="503"/>
      <c r="BF228" s="503"/>
      <c r="BG228" s="503"/>
      <c r="BH228" s="503"/>
      <c r="BI228" s="33" t="s">
        <v>550</v>
      </c>
      <c r="BJ228" s="12"/>
    </row>
    <row r="229" spans="1:62"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3489</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1240"/>
      <c r="AO229" s="874"/>
      <c r="AP229" s="874"/>
      <c r="AQ229" s="888"/>
      <c r="AR229" s="508"/>
      <c r="AS229" s="1253"/>
      <c r="AT229" s="503"/>
      <c r="AU229" s="503"/>
      <c r="AV229" s="503"/>
      <c r="AW229" s="503"/>
      <c r="AX229" s="503"/>
      <c r="AY229" s="503"/>
      <c r="AZ229" s="503"/>
      <c r="BA229" s="503"/>
      <c r="BB229" s="503"/>
      <c r="BC229" s="503"/>
      <c r="BD229" s="503"/>
      <c r="BE229" s="503"/>
      <c r="BF229" s="503"/>
      <c r="BG229" s="503"/>
      <c r="BH229" s="503"/>
      <c r="BI229" s="33" t="s">
        <v>550</v>
      </c>
      <c r="BJ229" s="12"/>
    </row>
    <row r="230" spans="1:62"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3489</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2962</v>
      </c>
      <c r="AD230" s="146" t="s">
        <v>2962</v>
      </c>
      <c r="AE230" s="184" t="str">
        <f>OBRA!Y228</f>
        <v>ING. ANGEL ALBERTO HERNANDEZ MORA</v>
      </c>
      <c r="AF230" s="555">
        <v>213.19</v>
      </c>
      <c r="AG230" s="2" t="s">
        <v>1450</v>
      </c>
      <c r="AH230" s="607">
        <f t="shared" si="9"/>
        <v>3160.1665650358837</v>
      </c>
      <c r="AI230" s="2">
        <v>350</v>
      </c>
      <c r="AJ230" s="156" t="s">
        <v>1443</v>
      </c>
      <c r="AK230" s="514"/>
      <c r="AL230" s="514"/>
      <c r="AM230" s="514"/>
      <c r="AN230" s="1240"/>
      <c r="AO230" s="874"/>
      <c r="AP230" s="874"/>
      <c r="AQ230" s="888"/>
      <c r="AR230" s="1258"/>
      <c r="AS230" s="887"/>
      <c r="AT230" s="503"/>
      <c r="AU230" s="503"/>
      <c r="AV230" s="503"/>
      <c r="AW230" s="503"/>
      <c r="AX230" s="503"/>
      <c r="AY230" s="503"/>
      <c r="AZ230" s="503"/>
      <c r="BA230" s="503"/>
      <c r="BB230" s="503"/>
      <c r="BC230" s="503"/>
      <c r="BD230" s="503"/>
      <c r="BE230" s="503"/>
      <c r="BF230" s="503"/>
      <c r="BG230" s="503"/>
      <c r="BH230" s="503"/>
      <c r="BI230" s="33" t="s">
        <v>550</v>
      </c>
      <c r="BJ230" s="12"/>
    </row>
    <row r="231" spans="1:62"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3489</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2962</v>
      </c>
      <c r="AD231" s="146" t="s">
        <v>2962</v>
      </c>
      <c r="AE231" s="184" t="str">
        <f>OBRA!Y229</f>
        <v>ING. ANGEL ALBERTO HERNANDEZ MORA</v>
      </c>
      <c r="AF231" s="555">
        <v>213.19</v>
      </c>
      <c r="AG231" s="2" t="s">
        <v>1450</v>
      </c>
      <c r="AH231" s="184">
        <f t="shared" si="9"/>
        <v>2355.919133167597</v>
      </c>
      <c r="AI231" s="2">
        <v>350</v>
      </c>
      <c r="AJ231" s="156" t="s">
        <v>1443</v>
      </c>
      <c r="AK231" s="514"/>
      <c r="AL231" s="514"/>
      <c r="AM231" s="514"/>
      <c r="AN231" s="1240"/>
      <c r="AO231" s="874"/>
      <c r="AP231" s="874"/>
      <c r="AQ231" s="888"/>
      <c r="AR231" s="1944"/>
      <c r="AS231" s="1260"/>
      <c r="AT231" s="503"/>
      <c r="AU231" s="503"/>
      <c r="AV231" s="503"/>
      <c r="AW231" s="503"/>
      <c r="AX231" s="503"/>
      <c r="AY231" s="503"/>
      <c r="AZ231" s="503"/>
      <c r="BA231" s="503"/>
      <c r="BB231" s="503"/>
      <c r="BC231" s="503"/>
      <c r="BD231" s="503"/>
      <c r="BE231" s="503"/>
      <c r="BF231" s="503"/>
      <c r="BG231" s="503"/>
      <c r="BH231" s="503"/>
      <c r="BI231" s="33" t="s">
        <v>550</v>
      </c>
      <c r="BJ231" s="12"/>
    </row>
    <row r="232" spans="1:62"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3489</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2962</v>
      </c>
      <c r="AD232" s="146" t="s">
        <v>2962</v>
      </c>
      <c r="AE232" s="184" t="str">
        <f>OBRA!Y230</f>
        <v>ING. ANGEL ALBERTO HERNANDEZ MORA</v>
      </c>
      <c r="AF232" s="555">
        <v>262.08</v>
      </c>
      <c r="AG232" s="2" t="s">
        <v>1548</v>
      </c>
      <c r="AH232" s="607">
        <f t="shared" si="9"/>
        <v>1451.4828678266178</v>
      </c>
      <c r="AI232" s="2">
        <v>350</v>
      </c>
      <c r="AJ232" s="156" t="s">
        <v>1443</v>
      </c>
      <c r="AK232" s="514"/>
      <c r="AL232" s="514"/>
      <c r="AM232" s="514"/>
      <c r="AN232" s="1240"/>
      <c r="AO232" s="874"/>
      <c r="AP232" s="874"/>
      <c r="AQ232" s="888"/>
      <c r="AR232" s="888"/>
      <c r="AS232" s="874"/>
      <c r="AT232" s="503"/>
      <c r="AU232" s="503"/>
      <c r="AV232" s="503"/>
      <c r="AW232" s="503"/>
      <c r="AX232" s="503"/>
      <c r="AY232" s="503"/>
      <c r="AZ232" s="503"/>
      <c r="BA232" s="503"/>
      <c r="BB232" s="503"/>
      <c r="BC232" s="503"/>
      <c r="BD232" s="503"/>
      <c r="BE232" s="503"/>
      <c r="BF232" s="503"/>
      <c r="BG232" s="503"/>
      <c r="BH232" s="503"/>
      <c r="BI232" s="33" t="s">
        <v>550</v>
      </c>
      <c r="BJ232" s="12"/>
    </row>
    <row r="233" spans="1:62"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2541</v>
      </c>
      <c r="O233" s="467" t="s">
        <v>3489</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1240"/>
      <c r="AO233" s="874"/>
      <c r="AP233" s="874"/>
      <c r="AQ233" s="874"/>
      <c r="AR233" s="874"/>
      <c r="AS233" s="874"/>
      <c r="AT233" s="503"/>
      <c r="AU233" s="503"/>
      <c r="AV233" s="503"/>
      <c r="AW233" s="503"/>
      <c r="AX233" s="503"/>
      <c r="AY233" s="503"/>
      <c r="AZ233" s="503"/>
      <c r="BA233" s="503"/>
      <c r="BB233" s="503"/>
      <c r="BC233" s="503"/>
      <c r="BD233" s="503"/>
      <c r="BE233" s="503"/>
      <c r="BF233" s="503"/>
      <c r="BG233" s="503"/>
      <c r="BH233" s="503"/>
      <c r="BI233" s="33" t="s">
        <v>550</v>
      </c>
      <c r="BJ233" s="12"/>
    </row>
    <row r="234" spans="1:62"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2541</v>
      </c>
      <c r="O234" s="467" t="s">
        <v>3489</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1240"/>
      <c r="AO234" s="874"/>
      <c r="AP234" s="874"/>
      <c r="AQ234" s="874"/>
      <c r="AR234" s="874"/>
      <c r="AS234" s="874"/>
      <c r="AT234" s="503"/>
      <c r="AU234" s="503"/>
      <c r="AV234" s="503"/>
      <c r="AW234" s="503"/>
      <c r="AX234" s="503"/>
      <c r="AY234" s="503"/>
      <c r="AZ234" s="503"/>
      <c r="BA234" s="503"/>
      <c r="BB234" s="503"/>
      <c r="BC234" s="503"/>
      <c r="BD234" s="503"/>
      <c r="BE234" s="503"/>
      <c r="BF234" s="503"/>
      <c r="BG234" s="503"/>
      <c r="BH234" s="503"/>
      <c r="BI234" s="33" t="s">
        <v>550</v>
      </c>
      <c r="BJ234" s="12"/>
    </row>
    <row r="235" spans="1:62"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3489</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1240"/>
      <c r="AO235" s="874"/>
      <c r="AP235" s="874"/>
      <c r="AQ235" s="891"/>
      <c r="AR235" s="891"/>
      <c r="AS235" s="532"/>
      <c r="AT235" s="503"/>
      <c r="AU235" s="503"/>
      <c r="AV235" s="503"/>
      <c r="AW235" s="503"/>
      <c r="AX235" s="503"/>
      <c r="AY235" s="503"/>
      <c r="AZ235" s="503"/>
      <c r="BA235" s="503"/>
      <c r="BB235" s="503"/>
      <c r="BC235" s="503"/>
      <c r="BD235" s="503"/>
      <c r="BE235" s="503"/>
      <c r="BF235" s="503"/>
      <c r="BG235" s="503"/>
      <c r="BH235" s="503"/>
      <c r="BI235" s="33" t="s">
        <v>1294</v>
      </c>
      <c r="BJ235" s="12"/>
    </row>
    <row r="236" spans="1:62"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3489</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1240"/>
      <c r="AO236" s="874"/>
      <c r="AP236" s="874"/>
      <c r="AQ236" s="874"/>
      <c r="AR236" s="874"/>
      <c r="AS236" s="532"/>
      <c r="AT236" s="503"/>
      <c r="AU236" s="503"/>
      <c r="AV236" s="503"/>
      <c r="AW236" s="503"/>
      <c r="AX236" s="503"/>
      <c r="AY236" s="503"/>
      <c r="AZ236" s="503"/>
      <c r="BA236" s="503"/>
      <c r="BB236" s="503"/>
      <c r="BC236" s="503"/>
      <c r="BD236" s="503"/>
      <c r="BE236" s="503"/>
      <c r="BF236" s="503"/>
      <c r="BG236" s="503"/>
      <c r="BH236" s="503"/>
      <c r="BI236" s="33" t="s">
        <v>1294</v>
      </c>
      <c r="BJ236" s="12"/>
    </row>
    <row r="237" spans="1:62"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3489</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1240"/>
      <c r="AO237" s="874"/>
      <c r="AP237" s="874"/>
      <c r="AQ237" s="532"/>
      <c r="AR237" s="532"/>
      <c r="AS237" s="532"/>
      <c r="AT237" s="503"/>
      <c r="AU237" s="503"/>
      <c r="AV237" s="503"/>
      <c r="AW237" s="503"/>
      <c r="AX237" s="503"/>
      <c r="AY237" s="503"/>
      <c r="AZ237" s="503"/>
      <c r="BA237" s="503"/>
      <c r="BB237" s="503"/>
      <c r="BC237" s="503"/>
      <c r="BD237" s="503"/>
      <c r="BE237" s="503"/>
      <c r="BF237" s="503"/>
      <c r="BG237" s="503"/>
      <c r="BH237" s="503"/>
      <c r="BI237" s="33" t="s">
        <v>1294</v>
      </c>
      <c r="BJ237" s="12"/>
    </row>
    <row r="238" spans="1:62"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3489</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1240"/>
      <c r="AO238" s="874"/>
      <c r="AP238" s="874"/>
      <c r="AQ238" s="874"/>
      <c r="AR238" s="874"/>
      <c r="AS238" s="532"/>
      <c r="AT238" s="503"/>
      <c r="AU238" s="503"/>
      <c r="AV238" s="503"/>
      <c r="AW238" s="503"/>
      <c r="AX238" s="503"/>
      <c r="AY238" s="503"/>
      <c r="AZ238" s="503"/>
      <c r="BA238" s="503"/>
      <c r="BB238" s="503"/>
      <c r="BC238" s="503"/>
      <c r="BD238" s="503"/>
      <c r="BE238" s="503"/>
      <c r="BF238" s="503"/>
      <c r="BG238" s="503"/>
      <c r="BH238" s="503"/>
      <c r="BI238" s="33" t="s">
        <v>1294</v>
      </c>
      <c r="BJ238" s="12"/>
    </row>
    <row r="239" spans="1:62"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3489</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1240"/>
      <c r="AO239" s="874"/>
      <c r="AP239" s="874"/>
      <c r="AQ239" s="874"/>
      <c r="AR239" s="874"/>
      <c r="AS239" s="532"/>
      <c r="AT239" s="503"/>
      <c r="AU239" s="503"/>
      <c r="AV239" s="503"/>
      <c r="AW239" s="503"/>
      <c r="AX239" s="503"/>
      <c r="AY239" s="503"/>
      <c r="AZ239" s="503"/>
      <c r="BA239" s="503"/>
      <c r="BB239" s="503"/>
      <c r="BC239" s="503"/>
      <c r="BD239" s="503"/>
      <c r="BE239" s="503"/>
      <c r="BF239" s="503"/>
      <c r="BG239" s="503"/>
      <c r="BH239" s="503"/>
      <c r="BI239" s="33" t="s">
        <v>1294</v>
      </c>
      <c r="BJ239" s="12"/>
    </row>
    <row r="240" spans="1:62"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3489</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1240"/>
      <c r="AO240" s="874"/>
      <c r="AP240" s="874"/>
      <c r="AQ240" s="874"/>
      <c r="AR240" s="874"/>
      <c r="AS240" s="532"/>
      <c r="AT240" s="503"/>
      <c r="AU240" s="503"/>
      <c r="AV240" s="503"/>
      <c r="AW240" s="503"/>
      <c r="AX240" s="503"/>
      <c r="AY240" s="503"/>
      <c r="AZ240" s="503"/>
      <c r="BA240" s="503"/>
      <c r="BB240" s="503"/>
      <c r="BC240" s="503"/>
      <c r="BD240" s="503"/>
      <c r="BE240" s="503"/>
      <c r="BF240" s="503"/>
      <c r="BG240" s="503"/>
      <c r="BH240" s="503"/>
      <c r="BI240" s="33" t="s">
        <v>1294</v>
      </c>
      <c r="BJ240" s="12"/>
    </row>
    <row r="241" spans="1:62"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3489</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1240"/>
      <c r="AO241" s="874"/>
      <c r="AP241" s="874"/>
      <c r="AQ241" s="532"/>
      <c r="AR241" s="532"/>
      <c r="AS241" s="532"/>
      <c r="AT241" s="503"/>
      <c r="AU241" s="503"/>
      <c r="AV241" s="503"/>
      <c r="AW241" s="503"/>
      <c r="AX241" s="503"/>
      <c r="AY241" s="503"/>
      <c r="AZ241" s="503"/>
      <c r="BA241" s="503"/>
      <c r="BB241" s="503"/>
      <c r="BC241" s="503"/>
      <c r="BD241" s="503"/>
      <c r="BE241" s="503"/>
      <c r="BF241" s="503"/>
      <c r="BG241" s="503"/>
      <c r="BH241" s="503"/>
      <c r="BI241" s="33" t="s">
        <v>550</v>
      </c>
      <c r="BJ241" s="12"/>
    </row>
    <row r="242" spans="1:62"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3489</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1240"/>
      <c r="AO242" s="874"/>
      <c r="AP242" s="874"/>
      <c r="AQ242" s="532"/>
      <c r="AR242" s="532"/>
      <c r="AS242" s="532"/>
      <c r="AT242" s="503"/>
      <c r="AU242" s="503"/>
      <c r="AV242" s="503"/>
      <c r="AW242" s="503"/>
      <c r="AX242" s="503"/>
      <c r="AY242" s="503"/>
      <c r="AZ242" s="503"/>
      <c r="BA242" s="503"/>
      <c r="BB242" s="503"/>
      <c r="BC242" s="503"/>
      <c r="BD242" s="503"/>
      <c r="BE242" s="503"/>
      <c r="BF242" s="503"/>
      <c r="BG242" s="503"/>
      <c r="BH242" s="503"/>
      <c r="BI242" s="33" t="s">
        <v>550</v>
      </c>
      <c r="BJ242" s="12"/>
    </row>
    <row r="243" spans="1:62"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3489</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1240"/>
      <c r="AO243" s="874"/>
      <c r="AP243" s="874"/>
      <c r="AQ243" s="891"/>
      <c r="AR243" s="891"/>
      <c r="AS243" s="532"/>
      <c r="AT243" s="503"/>
      <c r="AU243" s="503"/>
      <c r="AV243" s="503"/>
      <c r="AW243" s="503"/>
      <c r="AX243" s="503"/>
      <c r="AY243" s="503"/>
      <c r="AZ243" s="503"/>
      <c r="BA243" s="503"/>
      <c r="BB243" s="503"/>
      <c r="BC243" s="503"/>
      <c r="BD243" s="503"/>
      <c r="BE243" s="503"/>
      <c r="BF243" s="503"/>
      <c r="BG243" s="503"/>
      <c r="BH243" s="503"/>
      <c r="BI243" s="33" t="s">
        <v>550</v>
      </c>
      <c r="BJ243" s="12"/>
    </row>
    <row r="244" spans="1:62"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3489</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2962</v>
      </c>
      <c r="AD244" s="146" t="s">
        <v>2962</v>
      </c>
      <c r="AE244" s="184" t="str">
        <f>OBRA!Y242</f>
        <v>ING. J. GUADALUPE IBARRA RAMIREZ</v>
      </c>
      <c r="AF244" s="555">
        <v>88.22</v>
      </c>
      <c r="AG244" s="2" t="s">
        <v>1450</v>
      </c>
      <c r="AH244" s="607">
        <f t="shared" si="9"/>
        <v>1780.956699161188</v>
      </c>
      <c r="AI244" s="2">
        <v>50</v>
      </c>
      <c r="AJ244" s="156" t="s">
        <v>1451</v>
      </c>
      <c r="AK244" s="514"/>
      <c r="AL244" s="514"/>
      <c r="AM244" s="514"/>
      <c r="AN244" s="1240"/>
      <c r="AO244" s="874"/>
      <c r="AP244" s="874"/>
      <c r="AQ244" s="888"/>
      <c r="AR244" s="888"/>
      <c r="AS244" s="532"/>
      <c r="AT244" s="503"/>
      <c r="AU244" s="503"/>
      <c r="AV244" s="503"/>
      <c r="AW244" s="503"/>
      <c r="AX244" s="503"/>
      <c r="AY244" s="503"/>
      <c r="AZ244" s="503"/>
      <c r="BA244" s="503"/>
      <c r="BB244" s="503"/>
      <c r="BC244" s="503"/>
      <c r="BD244" s="503"/>
      <c r="BE244" s="503"/>
      <c r="BF244" s="503"/>
      <c r="BG244" s="503"/>
      <c r="BH244" s="503"/>
      <c r="BI244" s="33" t="s">
        <v>550</v>
      </c>
      <c r="BJ244" s="12"/>
    </row>
    <row r="245" spans="1:62"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3489</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2962</v>
      </c>
      <c r="AD245" s="146" t="s">
        <v>2962</v>
      </c>
      <c r="AE245" s="184" t="str">
        <f>OBRA!Y243</f>
        <v>ING. J. GUADALUPE IBARRA RAMIREZ</v>
      </c>
      <c r="AF245" s="555">
        <v>85.09</v>
      </c>
      <c r="AG245" s="2" t="s">
        <v>1450</v>
      </c>
      <c r="AH245" s="607">
        <f t="shared" si="9"/>
        <v>4817.4635092255257</v>
      </c>
      <c r="AI245" s="2">
        <v>50</v>
      </c>
      <c r="AJ245" s="156" t="s">
        <v>1451</v>
      </c>
      <c r="AK245" s="514"/>
      <c r="AL245" s="514"/>
      <c r="AM245" s="514"/>
      <c r="AN245" s="1240"/>
      <c r="AO245" s="874"/>
      <c r="AP245" s="874"/>
      <c r="AQ245" s="888"/>
      <c r="AR245" s="985"/>
      <c r="AS245" s="878"/>
      <c r="AT245" s="503"/>
      <c r="AU245" s="503"/>
      <c r="AV245" s="503"/>
      <c r="AW245" s="503"/>
      <c r="AX245" s="503"/>
      <c r="AY245" s="503"/>
      <c r="AZ245" s="503"/>
      <c r="BA245" s="503"/>
      <c r="BB245" s="503"/>
      <c r="BC245" s="503"/>
      <c r="BD245" s="503"/>
      <c r="BE245" s="503"/>
      <c r="BF245" s="503"/>
      <c r="BG245" s="503"/>
      <c r="BH245" s="503"/>
      <c r="BI245" s="33" t="s">
        <v>1294</v>
      </c>
      <c r="BJ245" s="12"/>
    </row>
    <row r="246" spans="1:62"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3489</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2962</v>
      </c>
      <c r="AD246" s="146" t="s">
        <v>2962</v>
      </c>
      <c r="AE246" s="184" t="str">
        <f>OBRA!Y244</f>
        <v>ING. J. GUADALUPE IBARRA RAMIREZ</v>
      </c>
      <c r="AF246" s="555">
        <v>74.44</v>
      </c>
      <c r="AG246" s="2" t="s">
        <v>1450</v>
      </c>
      <c r="AH246" s="607">
        <f t="shared" si="9"/>
        <v>1947.2972864051585</v>
      </c>
      <c r="AI246" s="2">
        <v>30</v>
      </c>
      <c r="AJ246" s="156" t="s">
        <v>1451</v>
      </c>
      <c r="AK246" s="514"/>
      <c r="AL246" s="514"/>
      <c r="AM246" s="514"/>
      <c r="AN246" s="1240"/>
      <c r="AO246" s="874"/>
      <c r="AP246" s="874"/>
      <c r="AQ246" s="888"/>
      <c r="AR246" s="985"/>
      <c r="AS246" s="878"/>
      <c r="AT246" s="503"/>
      <c r="AU246" s="503"/>
      <c r="AV246" s="503"/>
      <c r="AW246" s="503"/>
      <c r="AX246" s="503"/>
      <c r="AY246" s="503"/>
      <c r="AZ246" s="503"/>
      <c r="BA246" s="503"/>
      <c r="BB246" s="503"/>
      <c r="BC246" s="503"/>
      <c r="BD246" s="503"/>
      <c r="BE246" s="503"/>
      <c r="BF246" s="503"/>
      <c r="BG246" s="503"/>
      <c r="BH246" s="503"/>
      <c r="BI246" s="33" t="s">
        <v>1294</v>
      </c>
      <c r="BJ246" s="12"/>
    </row>
    <row r="247" spans="1:62"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3489</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2962</v>
      </c>
      <c r="AD247" s="146" t="s">
        <v>2962</v>
      </c>
      <c r="AE247" s="184" t="str">
        <f>OBRA!Y245</f>
        <v>ING. J. GUADALUPE IBARRA RAMIREZ</v>
      </c>
      <c r="AF247" s="555">
        <v>76.69</v>
      </c>
      <c r="AG247" s="2" t="s">
        <v>1450</v>
      </c>
      <c r="AH247" s="607">
        <f t="shared" si="9"/>
        <v>1215.6747946277221</v>
      </c>
      <c r="AI247" s="2">
        <v>30</v>
      </c>
      <c r="AJ247" s="156" t="s">
        <v>1451</v>
      </c>
      <c r="AK247" s="514"/>
      <c r="AL247" s="514"/>
      <c r="AM247" s="514"/>
      <c r="AN247" s="1240"/>
      <c r="AO247" s="874"/>
      <c r="AP247" s="874"/>
      <c r="AQ247" s="888"/>
      <c r="AR247" s="985"/>
      <c r="AS247" s="878"/>
      <c r="AT247" s="503"/>
      <c r="AU247" s="503"/>
      <c r="AV247" s="503"/>
      <c r="AW247" s="503"/>
      <c r="AX247" s="503"/>
      <c r="AY247" s="503"/>
      <c r="AZ247" s="503"/>
      <c r="BA247" s="503"/>
      <c r="BB247" s="503"/>
      <c r="BC247" s="503"/>
      <c r="BD247" s="503"/>
      <c r="BE247" s="503"/>
      <c r="BF247" s="503"/>
      <c r="BG247" s="503"/>
      <c r="BH247" s="503"/>
      <c r="BI247" s="33" t="s">
        <v>1294</v>
      </c>
      <c r="BJ247" s="12"/>
    </row>
    <row r="248" spans="1:62"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3489</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1240"/>
      <c r="AO248" s="874"/>
      <c r="AP248" s="874"/>
      <c r="AQ248" s="888"/>
      <c r="AR248" s="985"/>
      <c r="AS248" s="698"/>
      <c r="AT248" s="503"/>
      <c r="AU248" s="503"/>
      <c r="AV248" s="503"/>
      <c r="AW248" s="503"/>
      <c r="AX248" s="503"/>
      <c r="AY248" s="503"/>
      <c r="AZ248" s="503"/>
      <c r="BA248" s="503"/>
      <c r="BB248" s="503"/>
      <c r="BC248" s="503"/>
      <c r="BD248" s="503"/>
      <c r="BE248" s="503"/>
      <c r="BF248" s="503"/>
      <c r="BG248" s="503"/>
      <c r="BH248" s="503"/>
      <c r="BI248" s="33" t="s">
        <v>550</v>
      </c>
      <c r="BJ248" s="12"/>
    </row>
    <row r="249" spans="1:62"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3489</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1240"/>
      <c r="AO249" s="874"/>
      <c r="AP249" s="874"/>
      <c r="AQ249" s="888"/>
      <c r="AR249" s="985"/>
      <c r="AS249" s="878"/>
      <c r="AT249" s="503"/>
      <c r="AU249" s="503"/>
      <c r="AV249" s="503"/>
      <c r="AW249" s="503"/>
      <c r="AX249" s="503"/>
      <c r="AY249" s="503"/>
      <c r="AZ249" s="503"/>
      <c r="BA249" s="503"/>
      <c r="BB249" s="503"/>
      <c r="BC249" s="503"/>
      <c r="BD249" s="503"/>
      <c r="BE249" s="503"/>
      <c r="BF249" s="503"/>
      <c r="BG249" s="503"/>
      <c r="BH249" s="503"/>
      <c r="BI249" s="33" t="s">
        <v>1294</v>
      </c>
      <c r="BJ249" s="12"/>
    </row>
    <row r="250" spans="1:62"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3489</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1240"/>
      <c r="AO250" s="874"/>
      <c r="AP250" s="874"/>
      <c r="AQ250" s="888"/>
      <c r="AR250" s="985"/>
      <c r="AS250" s="698"/>
      <c r="AT250" s="503"/>
      <c r="AU250" s="503"/>
      <c r="AV250" s="503"/>
      <c r="AW250" s="503"/>
      <c r="AX250" s="503"/>
      <c r="AY250" s="503"/>
      <c r="AZ250" s="503"/>
      <c r="BA250" s="503"/>
      <c r="BB250" s="503"/>
      <c r="BC250" s="503"/>
      <c r="BD250" s="503"/>
      <c r="BE250" s="503"/>
      <c r="BF250" s="503"/>
      <c r="BG250" s="503"/>
      <c r="BH250" s="503"/>
      <c r="BI250" s="33" t="s">
        <v>550</v>
      </c>
      <c r="BJ250" s="12"/>
    </row>
    <row r="251" spans="1:62"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3489</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1240"/>
      <c r="AO251" s="874"/>
      <c r="AP251" s="874"/>
      <c r="AQ251" s="888"/>
      <c r="AR251" s="985"/>
      <c r="AS251" s="878"/>
      <c r="AT251" s="503"/>
      <c r="AU251" s="503"/>
      <c r="AV251" s="503"/>
      <c r="AW251" s="503"/>
      <c r="AX251" s="503"/>
      <c r="AY251" s="503"/>
      <c r="AZ251" s="503"/>
      <c r="BA251" s="503"/>
      <c r="BB251" s="503"/>
      <c r="BC251" s="503"/>
      <c r="BD251" s="503"/>
      <c r="BE251" s="503"/>
      <c r="BF251" s="503"/>
      <c r="BG251" s="503"/>
      <c r="BH251" s="503"/>
      <c r="BI251" s="33" t="s">
        <v>1294</v>
      </c>
      <c r="BJ251" s="12"/>
    </row>
    <row r="252" spans="1:62"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3489</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1240"/>
      <c r="AO252" s="874"/>
      <c r="AP252" s="874"/>
      <c r="AQ252" s="888"/>
      <c r="AR252" s="985"/>
      <c r="AS252" s="698"/>
      <c r="AT252" s="503"/>
      <c r="AU252" s="503"/>
      <c r="AV252" s="503"/>
      <c r="AW252" s="503"/>
      <c r="AX252" s="503"/>
      <c r="AY252" s="503"/>
      <c r="AZ252" s="503"/>
      <c r="BA252" s="503"/>
      <c r="BB252" s="503"/>
      <c r="BC252" s="503"/>
      <c r="BD252" s="503"/>
      <c r="BE252" s="503"/>
      <c r="BF252" s="503"/>
      <c r="BG252" s="503"/>
      <c r="BH252" s="503"/>
      <c r="BI252" s="33" t="s">
        <v>550</v>
      </c>
      <c r="BJ252" s="12"/>
    </row>
    <row r="253" spans="1:62"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3489</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1240"/>
      <c r="AO253" s="874"/>
      <c r="AP253" s="874"/>
      <c r="AQ253" s="888"/>
      <c r="AR253" s="985"/>
      <c r="AS253" s="698"/>
      <c r="AT253" s="503"/>
      <c r="AU253" s="503"/>
      <c r="AV253" s="503"/>
      <c r="AW253" s="503"/>
      <c r="AX253" s="503"/>
      <c r="AY253" s="503"/>
      <c r="AZ253" s="503"/>
      <c r="BA253" s="503"/>
      <c r="BB253" s="503"/>
      <c r="BC253" s="503"/>
      <c r="BD253" s="503"/>
      <c r="BE253" s="503"/>
      <c r="BF253" s="503"/>
      <c r="BG253" s="503"/>
      <c r="BH253" s="503"/>
      <c r="BI253" s="33" t="s">
        <v>550</v>
      </c>
      <c r="BJ253" s="12"/>
    </row>
    <row r="254" spans="1:62"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3489</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1240"/>
      <c r="AO254" s="874"/>
      <c r="AP254" s="874"/>
      <c r="AQ254" s="888"/>
      <c r="AR254" s="985"/>
      <c r="AS254" s="878"/>
      <c r="AT254" s="503"/>
      <c r="AU254" s="503"/>
      <c r="AV254" s="503"/>
      <c r="AW254" s="503"/>
      <c r="AX254" s="503"/>
      <c r="AY254" s="503"/>
      <c r="AZ254" s="503"/>
      <c r="BA254" s="503"/>
      <c r="BB254" s="503"/>
      <c r="BC254" s="503"/>
      <c r="BD254" s="503"/>
      <c r="BE254" s="503"/>
      <c r="BF254" s="503"/>
      <c r="BG254" s="503"/>
      <c r="BH254" s="503"/>
      <c r="BI254" s="33" t="s">
        <v>1294</v>
      </c>
      <c r="BJ254" s="12"/>
    </row>
    <row r="255" spans="1:62"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3489</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2962</v>
      </c>
      <c r="AD255" s="146" t="s">
        <v>2962</v>
      </c>
      <c r="AE255" s="184" t="str">
        <f>OBRA!Y253</f>
        <v>ING. J. GUADALUPE IBARRA RAMIREZ</v>
      </c>
      <c r="AF255" s="555">
        <v>240</v>
      </c>
      <c r="AG255" s="2" t="s">
        <v>1548</v>
      </c>
      <c r="AH255" s="607">
        <f t="shared" si="9"/>
        <v>3739.0476250000002</v>
      </c>
      <c r="AI255" s="2">
        <v>1000</v>
      </c>
      <c r="AJ255" s="156" t="s">
        <v>1451</v>
      </c>
      <c r="AK255" s="514"/>
      <c r="AL255" s="514"/>
      <c r="AM255" s="514"/>
      <c r="AN255" s="1240"/>
      <c r="AO255" s="874"/>
      <c r="AP255" s="874"/>
      <c r="AQ255" s="888"/>
      <c r="AR255" s="985"/>
      <c r="AS255" s="698"/>
      <c r="AT255" s="503"/>
      <c r="AU255" s="503"/>
      <c r="AV255" s="503"/>
      <c r="AW255" s="503"/>
      <c r="AX255" s="503"/>
      <c r="AY255" s="503"/>
      <c r="AZ255" s="503"/>
      <c r="BA255" s="503"/>
      <c r="BB255" s="503"/>
      <c r="BC255" s="503"/>
      <c r="BD255" s="503"/>
      <c r="BE255" s="503"/>
      <c r="BF255" s="503"/>
      <c r="BG255" s="503"/>
      <c r="BH255" s="503"/>
      <c r="BI255" s="33" t="s">
        <v>550</v>
      </c>
      <c r="BJ255" s="12"/>
    </row>
    <row r="256" spans="1:62"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3489</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1240"/>
      <c r="AO256" s="874"/>
      <c r="AP256" s="874"/>
      <c r="AQ256" s="220"/>
      <c r="AR256" s="1770"/>
      <c r="AS256" s="878"/>
      <c r="AT256" s="503"/>
      <c r="AU256" s="503"/>
      <c r="AV256" s="503"/>
      <c r="AW256" s="503"/>
      <c r="AX256" s="503"/>
      <c r="AY256" s="503"/>
      <c r="AZ256" s="503"/>
      <c r="BA256" s="503"/>
      <c r="BB256" s="503"/>
      <c r="BC256" s="503"/>
      <c r="BD256" s="503"/>
      <c r="BE256" s="503"/>
      <c r="BF256" s="503"/>
      <c r="BG256" s="503"/>
      <c r="BH256" s="503"/>
      <c r="BI256" s="33" t="s">
        <v>1294</v>
      </c>
      <c r="BJ256" s="12"/>
    </row>
    <row r="257" spans="1:62"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3489</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1240"/>
      <c r="AO257" s="874"/>
      <c r="AP257" s="874"/>
      <c r="AQ257" s="888"/>
      <c r="AR257" s="985"/>
      <c r="AS257" s="1254"/>
      <c r="AT257" s="503"/>
      <c r="AU257" s="503"/>
      <c r="AV257" s="503"/>
      <c r="AW257" s="503"/>
      <c r="AX257" s="503"/>
      <c r="AY257" s="503"/>
      <c r="AZ257" s="503"/>
      <c r="BA257" s="503"/>
      <c r="BB257" s="503"/>
      <c r="BC257" s="503"/>
      <c r="BD257" s="503"/>
      <c r="BE257" s="503"/>
      <c r="BF257" s="503"/>
      <c r="BG257" s="503"/>
      <c r="BH257" s="503"/>
      <c r="BI257" s="33" t="s">
        <v>550</v>
      </c>
      <c r="BJ257" s="12"/>
    </row>
    <row r="258" spans="1:62"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3489</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1240"/>
      <c r="AO258" s="532"/>
      <c r="AP258" s="532"/>
      <c r="AQ258" s="891"/>
      <c r="AR258" s="1569"/>
      <c r="AS258" s="698"/>
      <c r="AT258" s="503"/>
      <c r="AU258" s="503"/>
      <c r="AV258" s="503"/>
      <c r="AW258" s="503"/>
      <c r="AX258" s="503"/>
      <c r="AY258" s="503"/>
      <c r="AZ258" s="503"/>
      <c r="BA258" s="503"/>
      <c r="BB258" s="503"/>
      <c r="BC258" s="503"/>
      <c r="BD258" s="503"/>
      <c r="BE258" s="503"/>
      <c r="BF258" s="503"/>
      <c r="BG258" s="503"/>
      <c r="BH258" s="503"/>
      <c r="BI258" s="33" t="s">
        <v>1294</v>
      </c>
      <c r="BJ258" s="12"/>
    </row>
    <row r="259" spans="1:62"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3489</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1240"/>
      <c r="AO259" s="874"/>
      <c r="AP259" s="874"/>
      <c r="AQ259" s="888"/>
      <c r="AR259" s="985"/>
      <c r="AS259" s="698"/>
      <c r="AT259" s="503"/>
      <c r="AU259" s="503"/>
      <c r="AV259" s="503"/>
      <c r="AW259" s="503"/>
      <c r="AX259" s="503"/>
      <c r="AY259" s="503"/>
      <c r="AZ259" s="503"/>
      <c r="BA259" s="503"/>
      <c r="BB259" s="503"/>
      <c r="BC259" s="503"/>
      <c r="BD259" s="503"/>
      <c r="BE259" s="503"/>
      <c r="BF259" s="503"/>
      <c r="BG259" s="503"/>
      <c r="BH259" s="503"/>
      <c r="BI259" s="33" t="s">
        <v>550</v>
      </c>
      <c r="BJ259" s="12"/>
    </row>
    <row r="260" spans="1:62"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3489</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2962</v>
      </c>
      <c r="AD260" s="146" t="s">
        <v>2962</v>
      </c>
      <c r="AE260" s="184" t="str">
        <f>OBRA!Y258</f>
        <v>ING. J. GUADALUPE IBARRA RAMIREZ</v>
      </c>
      <c r="AF260" s="555">
        <v>95.61</v>
      </c>
      <c r="AG260" s="2" t="s">
        <v>1450</v>
      </c>
      <c r="AH260" s="607">
        <f t="shared" si="9"/>
        <v>3070.0781299027299</v>
      </c>
      <c r="AI260" s="2">
        <v>400</v>
      </c>
      <c r="AJ260" s="156" t="s">
        <v>1443</v>
      </c>
      <c r="AK260" s="514"/>
      <c r="AL260" s="514"/>
      <c r="AM260" s="514"/>
      <c r="AN260" s="1240"/>
      <c r="AO260" s="874"/>
      <c r="AP260" s="874"/>
      <c r="AQ260" s="888"/>
      <c r="AR260" s="985"/>
      <c r="AS260" s="698"/>
      <c r="AT260" s="503"/>
      <c r="AU260" s="503"/>
      <c r="AV260" s="503"/>
      <c r="AW260" s="503"/>
      <c r="AX260" s="503"/>
      <c r="AY260" s="503"/>
      <c r="AZ260" s="503"/>
      <c r="BA260" s="503"/>
      <c r="BB260" s="503"/>
      <c r="BC260" s="503"/>
      <c r="BD260" s="503"/>
      <c r="BE260" s="503"/>
      <c r="BF260" s="503"/>
      <c r="BG260" s="503"/>
      <c r="BH260" s="503"/>
      <c r="BI260" s="33" t="s">
        <v>1294</v>
      </c>
      <c r="BJ260" s="12"/>
    </row>
    <row r="261" spans="1:62"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3489</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2962</v>
      </c>
      <c r="AD261" s="146" t="s">
        <v>2962</v>
      </c>
      <c r="AE261" s="184" t="str">
        <f>OBRA!Y259</f>
        <v>ING. J. GUADALUPE IBARRA RAMIREZ</v>
      </c>
      <c r="AF261" s="555">
        <v>95.61</v>
      </c>
      <c r="AG261" s="2" t="s">
        <v>1450</v>
      </c>
      <c r="AH261" s="607">
        <f t="shared" si="9"/>
        <v>1793.8007530593036</v>
      </c>
      <c r="AI261" s="2">
        <v>100</v>
      </c>
      <c r="AJ261" s="156" t="s">
        <v>1451</v>
      </c>
      <c r="AK261" s="514"/>
      <c r="AL261" s="514"/>
      <c r="AM261" s="514"/>
      <c r="AN261" s="1240"/>
      <c r="AO261" s="874"/>
      <c r="AP261" s="874"/>
      <c r="AQ261" s="888"/>
      <c r="AR261" s="985"/>
      <c r="AS261" s="698"/>
      <c r="AT261" s="503"/>
      <c r="AU261" s="503"/>
      <c r="AV261" s="503"/>
      <c r="AW261" s="503"/>
      <c r="AX261" s="503"/>
      <c r="AY261" s="503"/>
      <c r="AZ261" s="503"/>
      <c r="BA261" s="503"/>
      <c r="BB261" s="503"/>
      <c r="BC261" s="503"/>
      <c r="BD261" s="503"/>
      <c r="BE261" s="503"/>
      <c r="BF261" s="503"/>
      <c r="BG261" s="503"/>
      <c r="BH261" s="503"/>
      <c r="BI261" s="242" t="s">
        <v>550</v>
      </c>
      <c r="BJ261" s="12"/>
    </row>
    <row r="262" spans="1:62"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2580</v>
      </c>
      <c r="O262" s="467" t="s">
        <v>3489</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2962</v>
      </c>
      <c r="AD262" s="146" t="s">
        <v>2962</v>
      </c>
      <c r="AE262" s="184" t="str">
        <f>OBRA!Y260</f>
        <v>ING. ANGEL ALBERTO HERNANDEZ MORA</v>
      </c>
      <c r="AF262" s="555">
        <v>103</v>
      </c>
      <c r="AG262" s="2" t="s">
        <v>1450</v>
      </c>
      <c r="AH262" s="607">
        <f t="shared" si="9"/>
        <v>2109.2852427184466</v>
      </c>
      <c r="AI262" s="2">
        <v>120</v>
      </c>
      <c r="AJ262" s="156" t="s">
        <v>1451</v>
      </c>
      <c r="AK262" s="514"/>
      <c r="AL262" s="514"/>
      <c r="AM262" s="514"/>
      <c r="AN262" s="1240"/>
      <c r="AO262" s="874"/>
      <c r="AP262" s="874"/>
      <c r="AQ262" s="888"/>
      <c r="AR262" s="985"/>
      <c r="AS262" s="698"/>
      <c r="AT262" s="503"/>
      <c r="AU262" s="503"/>
      <c r="AV262" s="503"/>
      <c r="AW262" s="503"/>
      <c r="AX262" s="503"/>
      <c r="AY262" s="503"/>
      <c r="AZ262" s="503"/>
      <c r="BA262" s="503"/>
      <c r="BB262" s="503"/>
      <c r="BC262" s="503"/>
      <c r="BD262" s="503"/>
      <c r="BE262" s="503"/>
      <c r="BF262" s="503"/>
      <c r="BG262" s="503"/>
      <c r="BH262" s="503"/>
      <c r="BI262" s="33" t="s">
        <v>550</v>
      </c>
      <c r="BJ262" s="12"/>
    </row>
    <row r="263" spans="1:62"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2580</v>
      </c>
      <c r="O263" s="467" t="s">
        <v>3489</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2962</v>
      </c>
      <c r="AD263" s="146" t="s">
        <v>2962</v>
      </c>
      <c r="AE263" s="184" t="str">
        <f>OBRA!Y261</f>
        <v>ING. ANGEL ALBERTO HERNANDEZ MORA</v>
      </c>
      <c r="AF263" s="555">
        <v>424</v>
      </c>
      <c r="AG263" s="2" t="s">
        <v>1548</v>
      </c>
      <c r="AH263" s="607">
        <f t="shared" si="9"/>
        <v>552.57568396226418</v>
      </c>
      <c r="AI263" s="2">
        <v>120</v>
      </c>
      <c r="AJ263" s="156" t="s">
        <v>1451</v>
      </c>
      <c r="AK263" s="514"/>
      <c r="AL263" s="514"/>
      <c r="AM263" s="514"/>
      <c r="AN263" s="1240"/>
      <c r="AO263" s="874"/>
      <c r="AP263" s="874"/>
      <c r="AQ263" s="888"/>
      <c r="AR263" s="985"/>
      <c r="AS263" s="698"/>
      <c r="AT263" s="503"/>
      <c r="AU263" s="503"/>
      <c r="AV263" s="503"/>
      <c r="AW263" s="503"/>
      <c r="AX263" s="503"/>
      <c r="AY263" s="503"/>
      <c r="AZ263" s="503"/>
      <c r="BA263" s="503"/>
      <c r="BB263" s="503"/>
      <c r="BC263" s="503"/>
      <c r="BD263" s="503"/>
      <c r="BE263" s="503"/>
      <c r="BF263" s="503"/>
      <c r="BG263" s="503"/>
      <c r="BH263" s="503"/>
      <c r="BI263" s="33" t="s">
        <v>1294</v>
      </c>
      <c r="BJ263" s="12"/>
    </row>
    <row r="264" spans="1:62"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2580</v>
      </c>
      <c r="O264" s="467" t="s">
        <v>3489</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2962</v>
      </c>
      <c r="AD264" s="146" t="s">
        <v>2962</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1240"/>
      <c r="AO264" s="874"/>
      <c r="AP264" s="874"/>
      <c r="AQ264" s="888"/>
      <c r="AR264" s="985"/>
      <c r="AS264" s="698"/>
      <c r="AT264" s="503"/>
      <c r="AU264" s="503"/>
      <c r="AV264" s="503"/>
      <c r="AW264" s="503"/>
      <c r="AX264" s="503"/>
      <c r="AY264" s="503"/>
      <c r="AZ264" s="503"/>
      <c r="BA264" s="503"/>
      <c r="BB264" s="503"/>
      <c r="BC264" s="503"/>
      <c r="BD264" s="503"/>
      <c r="BE264" s="503"/>
      <c r="BF264" s="503"/>
      <c r="BG264" s="503"/>
      <c r="BH264" s="503"/>
      <c r="BI264" s="33" t="s">
        <v>550</v>
      </c>
      <c r="BJ264" s="12"/>
    </row>
    <row r="265" spans="1:62"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2580</v>
      </c>
      <c r="O265" s="467" t="s">
        <v>3489</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2962</v>
      </c>
      <c r="AD265" s="146" t="s">
        <v>2962</v>
      </c>
      <c r="AE265" s="184" t="str">
        <f>OBRA!Y263</f>
        <v>ING. ANGEL ALBERTO HERNANDEZ MORA</v>
      </c>
      <c r="AF265" s="555">
        <v>428.3</v>
      </c>
      <c r="AG265" s="2" t="s">
        <v>1548</v>
      </c>
      <c r="AH265" s="184">
        <f t="shared" si="12"/>
        <v>870.77630165771654</v>
      </c>
      <c r="AI265" s="2">
        <v>270</v>
      </c>
      <c r="AJ265" s="156" t="s">
        <v>1451</v>
      </c>
      <c r="AK265" s="514"/>
      <c r="AL265" s="514"/>
      <c r="AM265" s="514"/>
      <c r="AN265" s="1240"/>
      <c r="AO265" s="874"/>
      <c r="AP265" s="874"/>
      <c r="AQ265" s="888"/>
      <c r="AR265" s="985"/>
      <c r="AS265" s="698"/>
      <c r="AT265" s="503"/>
      <c r="AU265" s="503"/>
      <c r="AV265" s="503"/>
      <c r="AW265" s="503"/>
      <c r="AX265" s="503"/>
      <c r="AY265" s="503"/>
      <c r="AZ265" s="503"/>
      <c r="BA265" s="503"/>
      <c r="BB265" s="503"/>
      <c r="BC265" s="503"/>
      <c r="BD265" s="503"/>
      <c r="BE265" s="503"/>
      <c r="BF265" s="503"/>
      <c r="BG265" s="503"/>
      <c r="BH265" s="503"/>
      <c r="BI265" s="33" t="s">
        <v>550</v>
      </c>
      <c r="BJ265" s="12"/>
    </row>
    <row r="266" spans="1:62"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1239"/>
      <c r="AO266" s="530"/>
      <c r="AP266" s="646"/>
      <c r="AQ266" s="530"/>
      <c r="AR266" s="530"/>
      <c r="AS266" s="567"/>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2607</v>
      </c>
      <c r="O267" s="467" t="s">
        <v>3489</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1240"/>
      <c r="AO267" s="874"/>
      <c r="AP267" s="874"/>
      <c r="AQ267" s="888"/>
      <c r="AR267" s="985"/>
      <c r="AS267" s="698"/>
      <c r="AT267" s="503"/>
      <c r="AU267" s="503"/>
      <c r="AV267" s="503"/>
      <c r="AW267" s="503"/>
      <c r="AX267" s="503"/>
      <c r="AY267" s="503"/>
      <c r="AZ267" s="503"/>
      <c r="BA267" s="503"/>
      <c r="BB267" s="503"/>
      <c r="BC267" s="503"/>
      <c r="BD267" s="503"/>
      <c r="BE267" s="503"/>
      <c r="BF267" s="503"/>
      <c r="BG267" s="503"/>
      <c r="BH267" s="503"/>
      <c r="BI267" s="33" t="s">
        <v>550</v>
      </c>
      <c r="BJ267" s="12"/>
    </row>
    <row r="268" spans="1:62"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2541</v>
      </c>
      <c r="O268" s="467" t="s">
        <v>3489</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1240"/>
      <c r="AO268" s="874"/>
      <c r="AP268" s="874"/>
      <c r="AQ268" s="888"/>
      <c r="AR268" s="985"/>
      <c r="AS268" s="698"/>
      <c r="AT268" s="503"/>
      <c r="AU268" s="503"/>
      <c r="AV268" s="503"/>
      <c r="AW268" s="503"/>
      <c r="AX268" s="503"/>
      <c r="AY268" s="503"/>
      <c r="AZ268" s="503"/>
      <c r="BA268" s="503"/>
      <c r="BB268" s="503"/>
      <c r="BC268" s="503"/>
      <c r="BD268" s="503"/>
      <c r="BE268" s="503"/>
      <c r="BF268" s="503"/>
      <c r="BG268" s="503"/>
      <c r="BH268" s="503"/>
      <c r="BI268" s="33" t="s">
        <v>550</v>
      </c>
      <c r="BJ268" s="12"/>
    </row>
    <row r="269" spans="1:62"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785"/>
      <c r="AO269" s="467" t="s">
        <v>1947</v>
      </c>
      <c r="AP269" s="467" t="s">
        <v>1948</v>
      </c>
      <c r="AQ269" s="527" t="s">
        <v>1949</v>
      </c>
      <c r="AR269" s="494"/>
      <c r="AS269" s="1118" t="s">
        <v>1950</v>
      </c>
      <c r="AT269" s="494"/>
      <c r="AU269" s="494"/>
      <c r="AV269" s="494"/>
      <c r="AW269" s="494"/>
      <c r="AX269" s="494"/>
      <c r="AY269" s="494"/>
      <c r="AZ269" s="494"/>
      <c r="BA269" s="494"/>
      <c r="BB269" s="494"/>
      <c r="BC269" s="494"/>
      <c r="BD269" s="494"/>
      <c r="BE269" s="494"/>
      <c r="BF269" s="494"/>
      <c r="BG269" s="494"/>
      <c r="BH269" s="494"/>
      <c r="BI269" s="33" t="s">
        <v>550</v>
      </c>
      <c r="BJ269" s="12"/>
    </row>
    <row r="270" spans="1:62"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3489</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240"/>
      <c r="AO270" s="532"/>
      <c r="AP270" s="874"/>
      <c r="AQ270" s="874"/>
      <c r="AR270" s="984"/>
      <c r="AS270" s="984"/>
      <c r="AT270" s="503"/>
      <c r="AU270" s="503"/>
      <c r="AV270" s="503"/>
      <c r="AW270" s="503"/>
      <c r="AX270" s="503"/>
      <c r="AY270" s="503"/>
      <c r="AZ270" s="503"/>
      <c r="BA270" s="503"/>
      <c r="BB270" s="503"/>
      <c r="BC270" s="503"/>
      <c r="BD270" s="503"/>
      <c r="BE270" s="503"/>
      <c r="BF270" s="503"/>
      <c r="BG270" s="503"/>
      <c r="BH270" s="503"/>
      <c r="BI270" s="33" t="s">
        <v>1294</v>
      </c>
      <c r="BJ270" s="12"/>
    </row>
    <row r="271" spans="1:62"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1239"/>
      <c r="AO271" s="530"/>
      <c r="AP271" s="646"/>
      <c r="AQ271" s="823"/>
      <c r="AR271" s="823"/>
      <c r="AS271" s="567"/>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3489</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2901</v>
      </c>
      <c r="Z272" s="146" t="str">
        <f>OBRA!X270</f>
        <v xml:space="preserve">GRUPO DESARROLLADOR INMOBILIARIO CEMERAMA S.A. DE C.V. </v>
      </c>
      <c r="AA272" s="146"/>
      <c r="AB272" s="148" t="s">
        <v>1833</v>
      </c>
      <c r="AC272" s="146" t="s">
        <v>1834</v>
      </c>
      <c r="AD272" s="146" t="s">
        <v>2899</v>
      </c>
      <c r="AE272" s="184" t="str">
        <f>OBRA!Y270</f>
        <v xml:space="preserve">LIC. SALVADOR CONTRERAS </v>
      </c>
      <c r="AF272" s="555">
        <v>216.54</v>
      </c>
      <c r="AG272" s="2" t="s">
        <v>1450</v>
      </c>
      <c r="AH272" s="184">
        <f t="shared" si="12"/>
        <v>15936.106400665005</v>
      </c>
      <c r="AI272" s="2">
        <v>5000</v>
      </c>
      <c r="AJ272" s="156" t="s">
        <v>1451</v>
      </c>
      <c r="AK272" s="514"/>
      <c r="AL272" s="514"/>
      <c r="AM272" s="514"/>
      <c r="AN272" s="1240"/>
      <c r="AO272" s="532"/>
      <c r="AP272" s="624" t="s">
        <v>1953</v>
      </c>
      <c r="AQ272" s="527" t="s">
        <v>1954</v>
      </c>
      <c r="AR272" s="494"/>
      <c r="AS272" s="1118" t="s">
        <v>1955</v>
      </c>
      <c r="AT272" s="494"/>
      <c r="AU272" s="494"/>
      <c r="AV272" s="494"/>
      <c r="AW272" s="494"/>
      <c r="AX272" s="494"/>
      <c r="AY272" s="494"/>
      <c r="AZ272" s="494"/>
      <c r="BA272" s="494"/>
      <c r="BB272" s="494"/>
      <c r="BC272" s="494"/>
      <c r="BD272" s="494"/>
      <c r="BE272" s="494"/>
      <c r="BF272" s="494"/>
      <c r="BG272" s="494"/>
      <c r="BH272" s="494"/>
      <c r="BI272" s="33" t="s">
        <v>1294</v>
      </c>
      <c r="BJ272" s="12"/>
    </row>
    <row r="273" spans="1:62"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3489</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2902</v>
      </c>
      <c r="Z273" s="146" t="str">
        <f>OBRA!X271</f>
        <v>PROYECCION INTEGRAL ZURE S.A. DE C.V.</v>
      </c>
      <c r="AA273" s="146"/>
      <c r="AB273" s="148" t="s">
        <v>1957</v>
      </c>
      <c r="AC273" s="146" t="s">
        <v>1958</v>
      </c>
      <c r="AD273" s="146" t="s">
        <v>2900</v>
      </c>
      <c r="AE273" s="184" t="str">
        <f>OBRA!Y271</f>
        <v xml:space="preserve">LIC. SALVADOR CONTRERAS </v>
      </c>
      <c r="AF273" s="555">
        <v>927.73</v>
      </c>
      <c r="AG273" s="2" t="s">
        <v>1548</v>
      </c>
      <c r="AH273" s="607">
        <f t="shared" si="12"/>
        <v>3151.4609099630279</v>
      </c>
      <c r="AI273" s="2">
        <v>50000</v>
      </c>
      <c r="AJ273" s="156" t="s">
        <v>1451</v>
      </c>
      <c r="AK273" s="514"/>
      <c r="AL273" s="514"/>
      <c r="AM273" s="514"/>
      <c r="AN273" s="1240"/>
      <c r="AO273" s="624" t="s">
        <v>1959</v>
      </c>
      <c r="AP273" s="624" t="s">
        <v>1960</v>
      </c>
      <c r="AQ273" s="527" t="s">
        <v>1961</v>
      </c>
      <c r="AR273" s="494"/>
      <c r="AS273" s="528" t="s">
        <v>1962</v>
      </c>
      <c r="AT273" s="978"/>
      <c r="AU273" s="978"/>
      <c r="AV273" s="978"/>
      <c r="AW273" s="978"/>
      <c r="AX273" s="978"/>
      <c r="AY273" s="978"/>
      <c r="AZ273" s="978"/>
      <c r="BA273" s="978"/>
      <c r="BB273" s="978"/>
      <c r="BC273" s="978"/>
      <c r="BD273" s="978"/>
      <c r="BE273" s="978"/>
      <c r="BF273" s="978"/>
      <c r="BG273" s="978"/>
      <c r="BH273" s="978"/>
      <c r="BI273" s="33" t="s">
        <v>550</v>
      </c>
      <c r="BJ273" s="12"/>
    </row>
    <row r="274" spans="1:62"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785"/>
      <c r="AO274" s="467" t="s">
        <v>1969</v>
      </c>
      <c r="AP274" s="467" t="s">
        <v>1970</v>
      </c>
      <c r="AQ274" s="527" t="s">
        <v>1971</v>
      </c>
      <c r="AR274" s="494"/>
      <c r="AS274" s="528" t="s">
        <v>1972</v>
      </c>
      <c r="AT274" s="978"/>
      <c r="AU274" s="978"/>
      <c r="AV274" s="978"/>
      <c r="AW274" s="978"/>
      <c r="AX274" s="978"/>
      <c r="AY274" s="978"/>
      <c r="AZ274" s="978"/>
      <c r="BA274" s="978"/>
      <c r="BB274" s="978"/>
      <c r="BC274" s="978"/>
      <c r="BD274" s="978"/>
      <c r="BE274" s="978"/>
      <c r="BF274" s="978"/>
      <c r="BG274" s="978"/>
      <c r="BH274" s="978"/>
      <c r="BI274" s="33" t="s">
        <v>550</v>
      </c>
      <c r="BJ274" s="12"/>
    </row>
    <row r="275" spans="1:62"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2607</v>
      </c>
      <c r="O275" s="467" t="s">
        <v>3489</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1240"/>
      <c r="AO275" s="874"/>
      <c r="AP275" s="874"/>
      <c r="AQ275" s="888"/>
      <c r="AR275" s="985"/>
      <c r="AS275" s="698"/>
      <c r="AT275" s="503"/>
      <c r="AU275" s="503"/>
      <c r="AV275" s="503"/>
      <c r="AW275" s="503"/>
      <c r="AX275" s="503"/>
      <c r="AY275" s="503"/>
      <c r="AZ275" s="503"/>
      <c r="BA275" s="503"/>
      <c r="BB275" s="503"/>
      <c r="BC275" s="503"/>
      <c r="BD275" s="503"/>
      <c r="BE275" s="503"/>
      <c r="BF275" s="503"/>
      <c r="BG275" s="503"/>
      <c r="BH275" s="503"/>
      <c r="BI275" s="33" t="s">
        <v>550</v>
      </c>
      <c r="BJ275" s="12"/>
    </row>
    <row r="276" spans="1:62"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3489</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1240"/>
      <c r="AO276" s="874"/>
      <c r="AP276" s="874"/>
      <c r="AQ276" s="888"/>
      <c r="AR276" s="985"/>
      <c r="AS276" s="698"/>
      <c r="AT276" s="503"/>
      <c r="AU276" s="503"/>
      <c r="AV276" s="503"/>
      <c r="AW276" s="503"/>
      <c r="AX276" s="503"/>
      <c r="AY276" s="503"/>
      <c r="AZ276" s="503"/>
      <c r="BA276" s="503"/>
      <c r="BB276" s="503"/>
      <c r="BC276" s="503"/>
      <c r="BD276" s="503"/>
      <c r="BE276" s="503"/>
      <c r="BF276" s="503"/>
      <c r="BG276" s="503"/>
      <c r="BH276" s="503"/>
      <c r="BI276" s="33" t="s">
        <v>550</v>
      </c>
      <c r="BJ276" s="12"/>
    </row>
    <row r="277" spans="1:62"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3489</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1240"/>
      <c r="AO277" s="874"/>
      <c r="AP277" s="874"/>
      <c r="AQ277" s="888"/>
      <c r="AR277" s="985"/>
      <c r="AS277" s="698"/>
      <c r="AT277" s="503"/>
      <c r="AU277" s="503"/>
      <c r="AV277" s="503"/>
      <c r="AW277" s="503"/>
      <c r="AX277" s="503"/>
      <c r="AY277" s="503"/>
      <c r="AZ277" s="503"/>
      <c r="BA277" s="503"/>
      <c r="BB277" s="503"/>
      <c r="BC277" s="503"/>
      <c r="BD277" s="503"/>
      <c r="BE277" s="503"/>
      <c r="BF277" s="503"/>
      <c r="BG277" s="503"/>
      <c r="BH277" s="503"/>
      <c r="BI277" s="33" t="s">
        <v>550</v>
      </c>
      <c r="BJ277" s="12"/>
    </row>
    <row r="278" spans="1:62"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3489</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2962</v>
      </c>
      <c r="AD278" s="146" t="s">
        <v>2962</v>
      </c>
      <c r="AE278" s="184" t="str">
        <f>OBRA!Y276</f>
        <v>ING. J. GUADALUPE IBARRA RAMIREZ</v>
      </c>
      <c r="AF278" s="19">
        <v>1229.3</v>
      </c>
      <c r="AG278" s="2" t="s">
        <v>1548</v>
      </c>
      <c r="AH278" s="607">
        <f t="shared" si="12"/>
        <v>494.12748718783052</v>
      </c>
      <c r="AI278" s="2">
        <v>6000</v>
      </c>
      <c r="AJ278" s="156" t="s">
        <v>1451</v>
      </c>
      <c r="AK278" s="514"/>
      <c r="AL278" s="514"/>
      <c r="AM278" s="514"/>
      <c r="AN278" s="1240"/>
      <c r="AO278" s="532"/>
      <c r="AP278" s="532"/>
      <c r="AQ278" s="888"/>
      <c r="AR278" s="985"/>
      <c r="AS278" s="698"/>
      <c r="AT278" s="503"/>
      <c r="AU278" s="503"/>
      <c r="AV278" s="503"/>
      <c r="AW278" s="503"/>
      <c r="AX278" s="503"/>
      <c r="AY278" s="503"/>
      <c r="AZ278" s="503"/>
      <c r="BA278" s="503"/>
      <c r="BB278" s="503"/>
      <c r="BC278" s="503"/>
      <c r="BD278" s="503"/>
      <c r="BE278" s="503"/>
      <c r="BF278" s="503"/>
      <c r="BG278" s="503"/>
      <c r="BH278" s="503"/>
      <c r="BI278" s="33" t="s">
        <v>1294</v>
      </c>
      <c r="BJ278" s="12"/>
    </row>
    <row r="279" spans="1:62"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1239"/>
      <c r="AO279" s="530"/>
      <c r="AP279" s="646"/>
      <c r="AQ279" s="530"/>
      <c r="AR279" s="530"/>
      <c r="AS279" s="567"/>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2958</v>
      </c>
      <c r="AD280" s="146" t="s">
        <v>2958</v>
      </c>
      <c r="AE280" s="184" t="str">
        <f>OBRA!Y278</f>
        <v>ING. RIGOBERTO OLMEDO RAMOS</v>
      </c>
      <c r="AF280" s="555">
        <v>1</v>
      </c>
      <c r="AG280" s="2" t="s">
        <v>1573</v>
      </c>
      <c r="AH280" s="607">
        <f t="shared" si="12"/>
        <v>335569.36</v>
      </c>
      <c r="AI280" s="2">
        <v>800</v>
      </c>
      <c r="AJ280" s="156" t="s">
        <v>1451</v>
      </c>
      <c r="AK280" s="514"/>
      <c r="AL280" s="514"/>
      <c r="AM280" s="514"/>
      <c r="AN280" s="1240"/>
      <c r="AO280" s="467" t="s">
        <v>1981</v>
      </c>
      <c r="AP280" s="467" t="s">
        <v>1982</v>
      </c>
      <c r="AQ280" s="527" t="s">
        <v>1983</v>
      </c>
      <c r="AR280" s="494"/>
      <c r="AS280" s="597" t="s">
        <v>1984</v>
      </c>
      <c r="AT280" s="502"/>
      <c r="AU280" s="502"/>
      <c r="AV280" s="502"/>
      <c r="AW280" s="502"/>
      <c r="AX280" s="502"/>
      <c r="AY280" s="502"/>
      <c r="AZ280" s="502"/>
      <c r="BA280" s="502"/>
      <c r="BB280" s="502"/>
      <c r="BC280" s="502"/>
      <c r="BD280" s="502"/>
      <c r="BE280" s="502"/>
      <c r="BF280" s="502"/>
      <c r="BG280" s="502"/>
      <c r="BH280" s="502"/>
      <c r="BI280" s="33" t="s">
        <v>550</v>
      </c>
      <c r="BJ280" s="12"/>
    </row>
    <row r="281" spans="1:62"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2580</v>
      </c>
      <c r="O281" s="467" t="s">
        <v>3489</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2962</v>
      </c>
      <c r="AD281" s="146" t="s">
        <v>2962</v>
      </c>
      <c r="AE281" s="184" t="str">
        <f>OBRA!Y279</f>
        <v>ING. ANGEL ALBERTO HERNANDEZ MORA</v>
      </c>
      <c r="AF281" s="884">
        <v>579.5</v>
      </c>
      <c r="AG281" s="2" t="s">
        <v>1548</v>
      </c>
      <c r="AH281" s="626">
        <f t="shared" si="12"/>
        <v>0</v>
      </c>
      <c r="AI281" s="2">
        <v>100</v>
      </c>
      <c r="AJ281" s="156" t="s">
        <v>1443</v>
      </c>
      <c r="AK281" s="514"/>
      <c r="AL281" s="514"/>
      <c r="AM281" s="514"/>
      <c r="AN281" s="1240"/>
      <c r="AO281" s="532"/>
      <c r="AP281" s="874"/>
      <c r="AQ281" s="888"/>
      <c r="AR281" s="985"/>
      <c r="AS281" s="698"/>
      <c r="AT281" s="503"/>
      <c r="AU281" s="503"/>
      <c r="AV281" s="503"/>
      <c r="AW281" s="503"/>
      <c r="AX281" s="503"/>
      <c r="AY281" s="503"/>
      <c r="AZ281" s="503"/>
      <c r="BA281" s="503"/>
      <c r="BB281" s="503"/>
      <c r="BC281" s="503"/>
      <c r="BD281" s="503"/>
      <c r="BE281" s="503"/>
      <c r="BF281" s="503"/>
      <c r="BG281" s="503"/>
      <c r="BH281" s="503"/>
      <c r="BI281" s="33" t="s">
        <v>1294</v>
      </c>
      <c r="BJ281" s="12"/>
    </row>
    <row r="282" spans="1:62"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3489</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1240"/>
      <c r="AO282" s="874"/>
      <c r="AP282" s="874"/>
      <c r="AQ282" s="888"/>
      <c r="AR282" s="985"/>
      <c r="AS282" s="698"/>
      <c r="AT282" s="503"/>
      <c r="AU282" s="503"/>
      <c r="AV282" s="503"/>
      <c r="AW282" s="503"/>
      <c r="AX282" s="503"/>
      <c r="AY282" s="503"/>
      <c r="AZ282" s="503"/>
      <c r="BA282" s="503"/>
      <c r="BB282" s="503"/>
      <c r="BC282" s="503"/>
      <c r="BD282" s="503"/>
      <c r="BE282" s="503"/>
      <c r="BF282" s="503"/>
      <c r="BG282" s="503"/>
      <c r="BH282" s="503"/>
      <c r="BI282" s="33" t="s">
        <v>550</v>
      </c>
      <c r="BJ282" s="12"/>
    </row>
    <row r="283" spans="1:62"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2527</v>
      </c>
      <c r="O283" s="467" t="s">
        <v>3489</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2962</v>
      </c>
      <c r="AD283" s="146" t="s">
        <v>2962</v>
      </c>
      <c r="AE283" s="184" t="str">
        <f>OBRA!Y281</f>
        <v>ARQ. JAIME CONDE GOMEZ</v>
      </c>
      <c r="AF283" s="555">
        <v>340.8</v>
      </c>
      <c r="AG283" s="2" t="s">
        <v>1450</v>
      </c>
      <c r="AH283" s="625">
        <f t="shared" si="12"/>
        <v>0</v>
      </c>
      <c r="AI283" s="2">
        <v>2000</v>
      </c>
      <c r="AJ283" s="156" t="s">
        <v>1451</v>
      </c>
      <c r="AK283" s="514"/>
      <c r="AL283" s="514"/>
      <c r="AM283" s="514"/>
      <c r="AN283" s="1240"/>
      <c r="AO283" s="874"/>
      <c r="AP283" s="874"/>
      <c r="AQ283" s="874"/>
      <c r="AR283" s="1240"/>
      <c r="AS283" s="566"/>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2527</v>
      </c>
      <c r="O284" s="467" t="s">
        <v>3489</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2962</v>
      </c>
      <c r="AD284" s="146" t="s">
        <v>2962</v>
      </c>
      <c r="AE284" s="184" t="str">
        <f>OBRA!Y282</f>
        <v>ARQ. JAIME CONDE GOMEZ</v>
      </c>
      <c r="AF284" s="555">
        <v>123</v>
      </c>
      <c r="AG284" s="2" t="s">
        <v>1450</v>
      </c>
      <c r="AH284" s="625">
        <f t="shared" si="12"/>
        <v>0</v>
      </c>
      <c r="AI284" s="2">
        <v>2000</v>
      </c>
      <c r="AJ284" s="156" t="s">
        <v>1451</v>
      </c>
      <c r="AK284" s="514"/>
      <c r="AL284" s="514"/>
      <c r="AM284" s="514"/>
      <c r="AN284" s="1240"/>
      <c r="AO284" s="874"/>
      <c r="AP284" s="874"/>
      <c r="AQ284" s="874"/>
      <c r="AR284" s="1240"/>
      <c r="AS284" s="566"/>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2515</v>
      </c>
      <c r="O285" s="467" t="s">
        <v>3489</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2962</v>
      </c>
      <c r="AD285" s="146" t="s">
        <v>2962</v>
      </c>
      <c r="AE285" s="184" t="str">
        <f>OBRA!Y283</f>
        <v>ING. ANGEL ALBERTO HERNANDEZ MORA</v>
      </c>
      <c r="AF285" s="555">
        <v>345</v>
      </c>
      <c r="AG285" s="2" t="s">
        <v>1450</v>
      </c>
      <c r="AH285" s="607">
        <f t="shared" si="12"/>
        <v>1246.5235072463768</v>
      </c>
      <c r="AI285" s="2">
        <v>400</v>
      </c>
      <c r="AJ285" s="156" t="s">
        <v>1451</v>
      </c>
      <c r="AK285" s="514"/>
      <c r="AL285" s="514"/>
      <c r="AM285" s="514"/>
      <c r="AN285" s="1240"/>
      <c r="AO285" s="874"/>
      <c r="AP285" s="874"/>
      <c r="AQ285" s="888"/>
      <c r="AR285" s="508"/>
      <c r="AS285" s="1253"/>
      <c r="AT285" s="503"/>
      <c r="AU285" s="503"/>
      <c r="AV285" s="503"/>
      <c r="AW285" s="503"/>
      <c r="AX285" s="503"/>
      <c r="AY285" s="503"/>
      <c r="AZ285" s="503"/>
      <c r="BA285" s="503"/>
      <c r="BB285" s="503"/>
      <c r="BC285" s="503"/>
      <c r="BD285" s="503"/>
      <c r="BE285" s="503"/>
      <c r="BF285" s="503"/>
      <c r="BG285" s="503"/>
      <c r="BH285" s="503"/>
      <c r="BI285" s="33" t="s">
        <v>550</v>
      </c>
      <c r="BJ285" s="12"/>
    </row>
    <row r="286" spans="1:62"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3489</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2962</v>
      </c>
      <c r="AD286" s="146" t="s">
        <v>2962</v>
      </c>
      <c r="AE286" s="184" t="str">
        <f>OBRA!Y284</f>
        <v>ING. J. GUADALUPE IBARRA RAMIREZ</v>
      </c>
      <c r="AF286" s="555">
        <v>1440.01</v>
      </c>
      <c r="AG286" s="2" t="s">
        <v>1548</v>
      </c>
      <c r="AH286" s="184">
        <f t="shared" si="12"/>
        <v>551.91461170408547</v>
      </c>
      <c r="AI286" s="2">
        <v>1000</v>
      </c>
      <c r="AJ286" s="156" t="s">
        <v>1451</v>
      </c>
      <c r="AK286" s="514"/>
      <c r="AL286" s="514"/>
      <c r="AM286" s="514"/>
      <c r="AN286" s="1240"/>
      <c r="AO286" s="874"/>
      <c r="AP286" s="874"/>
      <c r="AQ286" s="888"/>
      <c r="AR286" s="985"/>
      <c r="AS286" s="698"/>
      <c r="AT286" s="503"/>
      <c r="AU286" s="503"/>
      <c r="AV286" s="503"/>
      <c r="AW286" s="503"/>
      <c r="AX286" s="503"/>
      <c r="AY286" s="503"/>
      <c r="AZ286" s="503"/>
      <c r="BA286" s="503"/>
      <c r="BB286" s="503"/>
      <c r="BC286" s="503"/>
      <c r="BD286" s="503"/>
      <c r="BE286" s="503"/>
      <c r="BF286" s="503"/>
      <c r="BG286" s="503"/>
      <c r="BH286" s="503"/>
      <c r="BI286" s="33" t="s">
        <v>550</v>
      </c>
      <c r="BJ286" s="12"/>
    </row>
    <row r="287" spans="1:62"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3489</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1240"/>
      <c r="AO287" s="874"/>
      <c r="AP287" s="874"/>
      <c r="AQ287" s="888"/>
      <c r="AR287" s="985"/>
      <c r="AS287" s="698"/>
      <c r="AT287" s="503"/>
      <c r="AU287" s="503"/>
      <c r="AV287" s="503"/>
      <c r="AW287" s="503"/>
      <c r="AX287" s="503"/>
      <c r="AY287" s="503"/>
      <c r="AZ287" s="503"/>
      <c r="BA287" s="503"/>
      <c r="BB287" s="503"/>
      <c r="BC287" s="503"/>
      <c r="BD287" s="503"/>
      <c r="BE287" s="503"/>
      <c r="BF287" s="503"/>
      <c r="BG287" s="503"/>
      <c r="BH287" s="503"/>
      <c r="BI287" s="33" t="s">
        <v>550</v>
      </c>
      <c r="BJ287" s="12"/>
    </row>
    <row r="288" spans="1:62"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3489</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2962</v>
      </c>
      <c r="AD288" s="146" t="s">
        <v>2962</v>
      </c>
      <c r="AE288" s="184" t="str">
        <f>OBRA!Y286</f>
        <v>ING. JUAN MANUEL GARCIA ESCOTO</v>
      </c>
      <c r="AF288" s="555">
        <v>271.8</v>
      </c>
      <c r="AG288" s="2" t="s">
        <v>1450</v>
      </c>
      <c r="AH288" s="184">
        <f t="shared" si="12"/>
        <v>3416.393009565857</v>
      </c>
      <c r="AI288" s="2">
        <v>21500</v>
      </c>
      <c r="AJ288" s="156" t="s">
        <v>1451</v>
      </c>
      <c r="AK288" s="514"/>
      <c r="AL288" s="514"/>
      <c r="AM288" s="514"/>
      <c r="AN288" s="1240"/>
      <c r="AO288" s="874"/>
      <c r="AP288" s="874"/>
      <c r="AQ288" s="888"/>
      <c r="AR288" s="985"/>
      <c r="AS288" s="698"/>
      <c r="AT288" s="503"/>
      <c r="AU288" s="503"/>
      <c r="AV288" s="503"/>
      <c r="AW288" s="503"/>
      <c r="AX288" s="503"/>
      <c r="AY288" s="503"/>
      <c r="AZ288" s="503"/>
      <c r="BA288" s="503"/>
      <c r="BB288" s="503"/>
      <c r="BC288" s="503"/>
      <c r="BD288" s="503"/>
      <c r="BE288" s="503"/>
      <c r="BF288" s="503"/>
      <c r="BG288" s="503"/>
      <c r="BH288" s="503"/>
      <c r="BI288" s="33" t="s">
        <v>550</v>
      </c>
      <c r="BJ288" s="12"/>
    </row>
    <row r="289" spans="1:62"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3489</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2962</v>
      </c>
      <c r="AD289" s="146" t="s">
        <v>2962</v>
      </c>
      <c r="AE289" s="184" t="str">
        <f>OBRA!Y287</f>
        <v>ING. JUAN MANUEL GARCIA ESCOTO</v>
      </c>
      <c r="AF289" s="555">
        <v>271</v>
      </c>
      <c r="AG289" s="2" t="s">
        <v>1450</v>
      </c>
      <c r="AH289" s="184">
        <f t="shared" si="12"/>
        <v>3068.6301107011072</v>
      </c>
      <c r="AI289" s="2">
        <v>21500</v>
      </c>
      <c r="AJ289" s="156" t="s">
        <v>1451</v>
      </c>
      <c r="AK289" s="514"/>
      <c r="AL289" s="514"/>
      <c r="AM289" s="514"/>
      <c r="AN289" s="1240"/>
      <c r="AO289" s="874"/>
      <c r="AP289" s="874"/>
      <c r="AQ289" s="888"/>
      <c r="AR289" s="985"/>
      <c r="AS289" s="698"/>
      <c r="AT289" s="503"/>
      <c r="AU289" s="503"/>
      <c r="AV289" s="503"/>
      <c r="AW289" s="503"/>
      <c r="AX289" s="503"/>
      <c r="AY289" s="503"/>
      <c r="AZ289" s="503"/>
      <c r="BA289" s="503"/>
      <c r="BB289" s="503"/>
      <c r="BC289" s="503"/>
      <c r="BD289" s="503"/>
      <c r="BE289" s="503"/>
      <c r="BF289" s="503"/>
      <c r="BG289" s="503"/>
      <c r="BH289" s="503"/>
      <c r="BI289" s="33" t="s">
        <v>550</v>
      </c>
      <c r="BJ289" s="12"/>
    </row>
    <row r="290" spans="1:62"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2515</v>
      </c>
      <c r="O290" s="467" t="s">
        <v>3489</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2962</v>
      </c>
      <c r="AD290" s="146" t="s">
        <v>2962</v>
      </c>
      <c r="AE290" s="184" t="str">
        <f>OBRA!Y288</f>
        <v>ING. ANGEL ALBERTO HERNANDEZ MORA</v>
      </c>
      <c r="AF290" s="555">
        <v>250</v>
      </c>
      <c r="AG290" s="2" t="s">
        <v>1450</v>
      </c>
      <c r="AH290" s="607">
        <f t="shared" si="12"/>
        <v>1569.47028</v>
      </c>
      <c r="AI290" s="2">
        <v>400</v>
      </c>
      <c r="AJ290" s="156" t="s">
        <v>1451</v>
      </c>
      <c r="AK290" s="514"/>
      <c r="AL290" s="514"/>
      <c r="AM290" s="514"/>
      <c r="AN290" s="1240"/>
      <c r="AO290" s="874"/>
      <c r="AP290" s="874"/>
      <c r="AQ290" s="888"/>
      <c r="AR290" s="985"/>
      <c r="AS290" s="698"/>
      <c r="AT290" s="503"/>
      <c r="AU290" s="503"/>
      <c r="AV290" s="503"/>
      <c r="AW290" s="503"/>
      <c r="AX290" s="503"/>
      <c r="AY290" s="503"/>
      <c r="AZ290" s="503"/>
      <c r="BA290" s="503"/>
      <c r="BB290" s="503"/>
      <c r="BC290" s="503"/>
      <c r="BD290" s="503"/>
      <c r="BE290" s="503"/>
      <c r="BF290" s="503"/>
      <c r="BG290" s="503"/>
      <c r="BH290" s="503"/>
      <c r="BI290" s="33" t="s">
        <v>550</v>
      </c>
      <c r="BJ290" s="12"/>
    </row>
    <row r="291" spans="1:62"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2527</v>
      </c>
      <c r="O291" s="467" t="s">
        <v>3489</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2962</v>
      </c>
      <c r="AD291" s="146" t="s">
        <v>2962</v>
      </c>
      <c r="AE291" s="184" t="str">
        <f>OBRA!Y289</f>
        <v>LIC. SALVADOR CONTRERAS OLGUÍN</v>
      </c>
      <c r="AF291" s="555">
        <v>15.5</v>
      </c>
      <c r="AG291" s="2" t="s">
        <v>1548</v>
      </c>
      <c r="AH291" s="184">
        <f t="shared" si="12"/>
        <v>3001.4567741935484</v>
      </c>
      <c r="AI291" s="2">
        <v>200</v>
      </c>
      <c r="AJ291" s="156" t="s">
        <v>1451</v>
      </c>
      <c r="AK291" s="514"/>
      <c r="AL291" s="514"/>
      <c r="AM291" s="514"/>
      <c r="AN291" s="1240"/>
      <c r="AO291" s="874"/>
      <c r="AP291" s="874"/>
      <c r="AQ291" s="888"/>
      <c r="AR291" s="985"/>
      <c r="AS291" s="698"/>
      <c r="AT291" s="503"/>
      <c r="AU291" s="503"/>
      <c r="AV291" s="503"/>
      <c r="AW291" s="503"/>
      <c r="AX291" s="503"/>
      <c r="AY291" s="503"/>
      <c r="AZ291" s="503"/>
      <c r="BA291" s="503"/>
      <c r="BB291" s="503"/>
      <c r="BC291" s="503"/>
      <c r="BD291" s="503"/>
      <c r="BE291" s="503"/>
      <c r="BF291" s="503"/>
      <c r="BG291" s="503"/>
      <c r="BH291" s="503"/>
      <c r="BI291" s="33" t="s">
        <v>550</v>
      </c>
      <c r="BJ291" s="12"/>
    </row>
    <row r="292" spans="1:62"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2527</v>
      </c>
      <c r="O292" s="467" t="s">
        <v>3489</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2962</v>
      </c>
      <c r="AD292" s="146" t="s">
        <v>2962</v>
      </c>
      <c r="AE292" s="184" t="str">
        <f>OBRA!Y290</f>
        <v>LIC. SALVADOR CONTRERAS OLGUÍN</v>
      </c>
      <c r="AF292" s="555">
        <v>111.83</v>
      </c>
      <c r="AG292" s="2" t="s">
        <v>1450</v>
      </c>
      <c r="AH292" s="184">
        <f t="shared" si="12"/>
        <v>961.6821067692033</v>
      </c>
      <c r="AI292" s="2">
        <v>200</v>
      </c>
      <c r="AJ292" s="156" t="s">
        <v>1451</v>
      </c>
      <c r="AK292" s="514"/>
      <c r="AL292" s="514"/>
      <c r="AM292" s="514"/>
      <c r="AN292" s="1240"/>
      <c r="AO292" s="874"/>
      <c r="AP292" s="874"/>
      <c r="AQ292" s="888"/>
      <c r="AR292" s="985"/>
      <c r="AS292" s="698"/>
      <c r="AT292" s="503"/>
      <c r="AU292" s="503"/>
      <c r="AV292" s="503"/>
      <c r="AW292" s="503"/>
      <c r="AX292" s="503"/>
      <c r="AY292" s="503"/>
      <c r="AZ292" s="503"/>
      <c r="BA292" s="503"/>
      <c r="BB292" s="503"/>
      <c r="BC292" s="503"/>
      <c r="BD292" s="503"/>
      <c r="BE292" s="503"/>
      <c r="BF292" s="503"/>
      <c r="BG292" s="503"/>
      <c r="BH292" s="503"/>
      <c r="BI292" s="33" t="s">
        <v>550</v>
      </c>
      <c r="BJ292" s="12"/>
    </row>
    <row r="293" spans="1:62" ht="110.25" hidden="1" customHeight="1">
      <c r="A293" s="16">
        <f>OBRA!K291</f>
        <v>2018</v>
      </c>
      <c r="B293" s="781" t="s">
        <v>1563</v>
      </c>
      <c r="C293" s="781">
        <v>180.1</v>
      </c>
      <c r="D293" s="781"/>
      <c r="E293" s="2" t="str">
        <f>OBRA!N291</f>
        <v>FONDEREG</v>
      </c>
      <c r="F293" s="505" t="s">
        <v>3668</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3233</v>
      </c>
      <c r="N293" s="3" t="s">
        <v>1975</v>
      </c>
      <c r="O293" s="505" t="s">
        <v>3490</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2962</v>
      </c>
      <c r="AD293" s="146" t="s">
        <v>2962</v>
      </c>
      <c r="AE293" s="184" t="str">
        <f>OBRA!Y291</f>
        <v>-</v>
      </c>
      <c r="AF293" s="555"/>
      <c r="AG293" s="2"/>
      <c r="AH293" s="184" t="e">
        <f t="shared" si="12"/>
        <v>#DIV/0!</v>
      </c>
      <c r="AI293" s="2"/>
      <c r="AJ293" s="156"/>
      <c r="AK293" s="514"/>
      <c r="AL293" s="514"/>
      <c r="AM293" s="514"/>
      <c r="AN293" s="785" t="s">
        <v>3668</v>
      </c>
      <c r="AO293" s="467" t="s">
        <v>67</v>
      </c>
      <c r="AP293" s="467" t="s">
        <v>67</v>
      </c>
      <c r="AQ293" s="527" t="s">
        <v>67</v>
      </c>
      <c r="AR293" s="494"/>
      <c r="AS293" s="528" t="s">
        <v>67</v>
      </c>
      <c r="AT293" s="991"/>
      <c r="AU293" s="991"/>
      <c r="AV293" s="991"/>
      <c r="AW293" s="991"/>
      <c r="AX293" s="991"/>
      <c r="AY293" s="991"/>
      <c r="AZ293" s="991"/>
      <c r="BA293" s="991"/>
      <c r="BB293" s="991"/>
      <c r="BC293" s="991"/>
      <c r="BD293" s="991"/>
      <c r="BE293" s="991"/>
      <c r="BF293" s="991"/>
      <c r="BG293" s="991"/>
      <c r="BH293" s="991"/>
      <c r="BI293" s="33" t="s">
        <v>550</v>
      </c>
      <c r="BJ293" s="12"/>
    </row>
    <row r="294" spans="1:62" ht="100.5" hidden="1" customHeight="1">
      <c r="A294" s="16">
        <f>OBRA!K292</f>
        <v>2018</v>
      </c>
      <c r="B294" s="781" t="s">
        <v>1563</v>
      </c>
      <c r="C294" s="781">
        <v>180.2</v>
      </c>
      <c r="D294" s="781"/>
      <c r="E294" s="2" t="str">
        <f>OBRA!N292</f>
        <v>FONDEREG</v>
      </c>
      <c r="F294" s="505" t="s">
        <v>3668</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3235</v>
      </c>
      <c r="N294" s="3" t="s">
        <v>1975</v>
      </c>
      <c r="O294" s="505" t="s">
        <v>3490</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2962</v>
      </c>
      <c r="AD294" s="146" t="s">
        <v>2962</v>
      </c>
      <c r="AE294" s="184" t="str">
        <f>OBRA!Y292</f>
        <v>-</v>
      </c>
      <c r="AF294" s="555"/>
      <c r="AG294" s="2"/>
      <c r="AH294" s="184" t="e">
        <f t="shared" si="12"/>
        <v>#DIV/0!</v>
      </c>
      <c r="AI294" s="2"/>
      <c r="AJ294" s="156"/>
      <c r="AK294" s="514"/>
      <c r="AL294" s="514"/>
      <c r="AM294" s="514"/>
      <c r="AN294" s="785" t="s">
        <v>3668</v>
      </c>
      <c r="AO294" s="467" t="s">
        <v>67</v>
      </c>
      <c r="AP294" s="467" t="s">
        <v>67</v>
      </c>
      <c r="AQ294" s="527" t="s">
        <v>67</v>
      </c>
      <c r="AR294" s="494"/>
      <c r="AS294" s="528" t="s">
        <v>67</v>
      </c>
      <c r="AT294" s="991"/>
      <c r="AU294" s="991"/>
      <c r="AV294" s="991"/>
      <c r="AW294" s="991"/>
      <c r="AX294" s="991"/>
      <c r="AY294" s="991"/>
      <c r="AZ294" s="991"/>
      <c r="BA294" s="991"/>
      <c r="BB294" s="991"/>
      <c r="BC294" s="991"/>
      <c r="BD294" s="991"/>
      <c r="BE294" s="991"/>
      <c r="BF294" s="991"/>
      <c r="BG294" s="991"/>
      <c r="BH294" s="991"/>
      <c r="BI294" s="33" t="s">
        <v>550</v>
      </c>
      <c r="BJ294" s="12"/>
    </row>
    <row r="295" spans="1:62" ht="276" hidden="1" customHeight="1">
      <c r="A295" s="16">
        <f>OBRA!K293</f>
        <v>2018</v>
      </c>
      <c r="B295" s="781" t="s">
        <v>1563</v>
      </c>
      <c r="C295" s="781">
        <v>180.3</v>
      </c>
      <c r="D295" s="781"/>
      <c r="E295" s="2" t="str">
        <f>OBRA!N293</f>
        <v xml:space="preserve">PROYECTOS DESARROLLO REGIONAL </v>
      </c>
      <c r="F295" s="505" t="s">
        <v>3668</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3236</v>
      </c>
      <c r="N295" s="3" t="s">
        <v>3237</v>
      </c>
      <c r="O295" s="505" t="s">
        <v>3490</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2962</v>
      </c>
      <c r="AD295" s="146" t="s">
        <v>2962</v>
      </c>
      <c r="AE295" s="184" t="str">
        <f>OBRA!Y293</f>
        <v>-</v>
      </c>
      <c r="AF295" s="555"/>
      <c r="AG295" s="2"/>
      <c r="AH295" s="184" t="e">
        <f t="shared" si="12"/>
        <v>#DIV/0!</v>
      </c>
      <c r="AI295" s="2"/>
      <c r="AJ295" s="156"/>
      <c r="AK295" s="514"/>
      <c r="AL295" s="514"/>
      <c r="AM295" s="514"/>
      <c r="AN295" s="785" t="s">
        <v>3668</v>
      </c>
      <c r="AO295" s="467" t="s">
        <v>67</v>
      </c>
      <c r="AP295" s="467" t="s">
        <v>67</v>
      </c>
      <c r="AQ295" s="527" t="s">
        <v>67</v>
      </c>
      <c r="AR295" s="494"/>
      <c r="AS295" s="528" t="s">
        <v>67</v>
      </c>
      <c r="AT295" s="991"/>
      <c r="AU295" s="991"/>
      <c r="AV295" s="991"/>
      <c r="AW295" s="991"/>
      <c r="AX295" s="991"/>
      <c r="AY295" s="991"/>
      <c r="AZ295" s="991"/>
      <c r="BA295" s="991"/>
      <c r="BB295" s="991"/>
      <c r="BC295" s="991"/>
      <c r="BD295" s="991"/>
      <c r="BE295" s="991"/>
      <c r="BF295" s="991"/>
      <c r="BG295" s="991"/>
      <c r="BH295" s="991"/>
      <c r="BI295" s="33" t="s">
        <v>550</v>
      </c>
      <c r="BJ295" s="12"/>
    </row>
    <row r="296" spans="1:62"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4175</v>
      </c>
      <c r="N296" s="544" t="s">
        <v>1975</v>
      </c>
      <c r="O296" s="532" t="s">
        <v>4177</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1240"/>
      <c r="AO296" s="874"/>
      <c r="AP296" s="874"/>
      <c r="AQ296" s="888"/>
      <c r="AR296" s="985"/>
      <c r="AS296" s="698"/>
      <c r="AT296" s="991"/>
      <c r="AU296" s="991"/>
      <c r="AV296" s="991"/>
      <c r="AW296" s="991"/>
      <c r="AX296" s="991"/>
      <c r="AY296" s="991"/>
      <c r="AZ296" s="991"/>
      <c r="BA296" s="991"/>
      <c r="BB296" s="991"/>
      <c r="BC296" s="991"/>
      <c r="BD296" s="991"/>
      <c r="BE296" s="991"/>
      <c r="BF296" s="991"/>
      <c r="BG296" s="991"/>
      <c r="BH296" s="991"/>
      <c r="BI296" s="33"/>
      <c r="BJ296" s="12"/>
    </row>
    <row r="297" spans="1:62"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2506</v>
      </c>
      <c r="O297" s="874" t="s">
        <v>4178</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874"/>
      <c r="AO297" s="532"/>
      <c r="AP297" s="532"/>
      <c r="AQ297" s="888"/>
      <c r="AR297" s="985"/>
      <c r="AS297" s="566"/>
      <c r="AT297" s="1718"/>
      <c r="AU297" s="1718"/>
      <c r="AV297" s="1718"/>
      <c r="AW297" s="1718"/>
      <c r="AX297" s="1718"/>
      <c r="AY297" s="1718"/>
      <c r="AZ297" s="1718"/>
      <c r="BA297" s="1718"/>
      <c r="BB297" s="1718"/>
      <c r="BC297" s="1718"/>
      <c r="BD297" s="1718"/>
      <c r="BE297" s="1718"/>
      <c r="BF297" s="1718"/>
      <c r="BG297" s="1718"/>
      <c r="BH297" s="1718"/>
      <c r="BI297" s="33"/>
      <c r="BJ297" s="12"/>
    </row>
    <row r="298" spans="1:62"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2515</v>
      </c>
      <c r="O298" s="874" t="s">
        <v>4179</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874"/>
      <c r="AO298" s="532"/>
      <c r="AP298" s="532"/>
      <c r="AQ298" s="888"/>
      <c r="AR298" s="985"/>
      <c r="AS298" s="566"/>
      <c r="AT298" s="1718"/>
      <c r="AU298" s="1718"/>
      <c r="AV298" s="1718"/>
      <c r="AW298" s="1718"/>
      <c r="AX298" s="1718"/>
      <c r="AY298" s="1718"/>
      <c r="AZ298" s="1718"/>
      <c r="BA298" s="1718"/>
      <c r="BB298" s="1718"/>
      <c r="BC298" s="1718"/>
      <c r="BD298" s="1718"/>
      <c r="BE298" s="1718"/>
      <c r="BF298" s="1718"/>
      <c r="BG298" s="1718"/>
      <c r="BH298" s="1718"/>
      <c r="BI298" s="33"/>
      <c r="BJ298" s="12"/>
    </row>
    <row r="299" spans="1:62"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4180</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874"/>
      <c r="AO299" s="532"/>
      <c r="AP299" s="532"/>
      <c r="AQ299" s="888"/>
      <c r="AR299" s="985"/>
      <c r="AS299" s="566"/>
      <c r="AT299" s="1718"/>
      <c r="AU299" s="1718"/>
      <c r="AV299" s="1718"/>
      <c r="AW299" s="1718"/>
      <c r="AX299" s="1718"/>
      <c r="AY299" s="1718"/>
      <c r="AZ299" s="1718"/>
      <c r="BA299" s="1718"/>
      <c r="BB299" s="1718"/>
      <c r="BC299" s="1718"/>
      <c r="BD299" s="1718"/>
      <c r="BE299" s="1718"/>
      <c r="BF299" s="1718"/>
      <c r="BG299" s="1718"/>
      <c r="BH299" s="1718"/>
      <c r="BI299" s="33"/>
      <c r="BJ299" s="12"/>
    </row>
    <row r="300" spans="1:62"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1239"/>
      <c r="AO300" s="530"/>
      <c r="AP300" s="646"/>
      <c r="AQ300" s="530"/>
      <c r="AR300" s="530"/>
      <c r="AS300" s="567"/>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2509</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532"/>
      <c r="AO301" s="532"/>
      <c r="AP301" s="532"/>
      <c r="AQ301" s="511"/>
      <c r="AR301" s="507"/>
      <c r="AS301" s="566"/>
      <c r="AT301" s="1718"/>
      <c r="AU301" s="1718"/>
      <c r="AV301" s="1718"/>
      <c r="AW301" s="1718"/>
      <c r="AX301" s="1718"/>
      <c r="AY301" s="1718"/>
      <c r="AZ301" s="1718"/>
      <c r="BA301" s="1718"/>
      <c r="BB301" s="1718"/>
      <c r="BC301" s="1718"/>
      <c r="BD301" s="1718"/>
      <c r="BE301" s="1718"/>
      <c r="BF301" s="1718"/>
      <c r="BG301" s="1718"/>
      <c r="BH301" s="1718"/>
      <c r="BI301" s="33"/>
      <c r="BJ301" s="12"/>
    </row>
    <row r="302" spans="1:62"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07"/>
      <c r="AO302" s="515"/>
      <c r="AP302" s="85"/>
      <c r="AQ302" s="515"/>
      <c r="AR302" s="515"/>
      <c r="AS302" s="567"/>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07"/>
      <c r="AO303" s="515"/>
      <c r="AP303" s="85"/>
      <c r="AQ303" s="515"/>
      <c r="AR303" s="515"/>
      <c r="AS303" s="567"/>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1239"/>
      <c r="AO304" s="530"/>
      <c r="AP304" s="646"/>
      <c r="AQ304" s="530"/>
      <c r="AR304" s="530"/>
      <c r="AS304" s="567"/>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4173</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3184</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874"/>
      <c r="AO305" s="532"/>
      <c r="AP305" s="532"/>
      <c r="AQ305" s="888"/>
      <c r="AR305" s="985"/>
      <c r="AS305" s="566"/>
      <c r="AT305" s="1718"/>
      <c r="AU305" s="1718"/>
      <c r="AV305" s="1718"/>
      <c r="AW305" s="1718"/>
      <c r="AX305" s="1718"/>
      <c r="AY305" s="1718"/>
      <c r="AZ305" s="1718"/>
      <c r="BA305" s="1718"/>
      <c r="BB305" s="1718"/>
      <c r="BC305" s="1718"/>
      <c r="BD305" s="1718"/>
      <c r="BE305" s="1718"/>
      <c r="BF305" s="1718"/>
      <c r="BG305" s="1718"/>
      <c r="BH305" s="1718"/>
      <c r="BI305" s="33"/>
      <c r="BJ305" s="12"/>
    </row>
    <row r="306" spans="1:62" ht="125.25" hidden="1" customHeight="1">
      <c r="A306" s="16">
        <f>OBRA!K304</f>
        <v>2018</v>
      </c>
      <c r="B306" s="781" t="s">
        <v>1563</v>
      </c>
      <c r="C306" s="781">
        <v>181.11</v>
      </c>
      <c r="D306" s="781"/>
      <c r="E306" s="2" t="str">
        <f>OBRA!N304</f>
        <v>Fondo de proyectos para el Desarrollo Regional</v>
      </c>
      <c r="F306" s="505" t="s">
        <v>3668</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2509</v>
      </c>
      <c r="O306" s="874" t="s">
        <v>4174</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874"/>
      <c r="AO306" s="874"/>
      <c r="AP306" s="874"/>
      <c r="AQ306" s="888"/>
      <c r="AR306" s="985"/>
      <c r="AS306" s="1254"/>
      <c r="AT306" s="1718"/>
      <c r="AU306" s="1718"/>
      <c r="AV306" s="1718"/>
      <c r="AW306" s="1718"/>
      <c r="AX306" s="1718"/>
      <c r="AY306" s="1718"/>
      <c r="AZ306" s="1718"/>
      <c r="BA306" s="1718"/>
      <c r="BB306" s="1718"/>
      <c r="BC306" s="1718"/>
      <c r="BD306" s="1718"/>
      <c r="BE306" s="1718"/>
      <c r="BF306" s="1718"/>
      <c r="BG306" s="1718"/>
      <c r="BH306" s="1718"/>
      <c r="BI306" s="33"/>
      <c r="BJ306" s="12"/>
    </row>
    <row r="307" spans="1:62"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2509</v>
      </c>
      <c r="O307" s="532" t="s">
        <v>4181</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874"/>
      <c r="AO307" s="874"/>
      <c r="AP307" s="874"/>
      <c r="AQ307" s="874"/>
      <c r="AR307" s="984"/>
      <c r="AS307" s="984"/>
      <c r="AT307" s="1718"/>
      <c r="AU307" s="1718"/>
      <c r="AV307" s="1718"/>
      <c r="AW307" s="1718"/>
      <c r="AX307" s="1718"/>
      <c r="AY307" s="1718"/>
      <c r="AZ307" s="1718"/>
      <c r="BA307" s="1718"/>
      <c r="BB307" s="1718"/>
      <c r="BC307" s="1718"/>
      <c r="BD307" s="1718"/>
      <c r="BE307" s="1718"/>
      <c r="BF307" s="1718"/>
      <c r="BG307" s="1718"/>
      <c r="BH307" s="1718"/>
      <c r="BI307" s="33"/>
      <c r="BJ307" s="12"/>
    </row>
    <row r="308" spans="1:62"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2509</v>
      </c>
      <c r="O308" s="874" t="s">
        <v>4182</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874"/>
      <c r="AO308" s="532"/>
      <c r="AP308" s="532"/>
      <c r="AQ308" s="891"/>
      <c r="AR308" s="1569"/>
      <c r="AS308" s="566"/>
      <c r="AT308" s="1718"/>
      <c r="AU308" s="1718"/>
      <c r="AV308" s="1718"/>
      <c r="AW308" s="1718"/>
      <c r="AX308" s="1718"/>
      <c r="AY308" s="1718"/>
      <c r="AZ308" s="1718"/>
      <c r="BA308" s="1718"/>
      <c r="BB308" s="1718"/>
      <c r="BC308" s="1718"/>
      <c r="BD308" s="1718"/>
      <c r="BE308" s="1718"/>
      <c r="BF308" s="1718"/>
      <c r="BG308" s="1718"/>
      <c r="BH308" s="1718"/>
      <c r="BI308" s="33"/>
      <c r="BJ308" s="12"/>
    </row>
    <row r="309" spans="1:62"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2607</v>
      </c>
      <c r="O309" s="874" t="s">
        <v>4183</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3184</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874"/>
      <c r="AO309" s="532"/>
      <c r="AP309" s="532"/>
      <c r="AQ309" s="888"/>
      <c r="AR309" s="985"/>
      <c r="AS309" s="566"/>
      <c r="AT309" s="1718"/>
      <c r="AU309" s="1718"/>
      <c r="AV309" s="1718"/>
      <c r="AW309" s="1718"/>
      <c r="AX309" s="1718"/>
      <c r="AY309" s="1718"/>
      <c r="AZ309" s="1718"/>
      <c r="BA309" s="1718"/>
      <c r="BB309" s="1718"/>
      <c r="BC309" s="1718"/>
      <c r="BD309" s="1718"/>
      <c r="BE309" s="1718"/>
      <c r="BF309" s="1718"/>
      <c r="BG309" s="1718"/>
      <c r="BH309" s="1718"/>
      <c r="BI309" s="33"/>
      <c r="BJ309" s="12"/>
    </row>
    <row r="310" spans="1:62"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1239"/>
      <c r="AO310" s="530"/>
      <c r="AP310" s="646"/>
      <c r="AQ310" s="530"/>
      <c r="AR310" s="530"/>
      <c r="AS310" s="567"/>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OBRA!K309</f>
        <v>2018</v>
      </c>
      <c r="B311" s="781" t="s">
        <v>1563</v>
      </c>
      <c r="C311" s="781">
        <v>181.16</v>
      </c>
      <c r="D311" s="781"/>
      <c r="E311" s="2" t="str">
        <f>OBRA!N309</f>
        <v>Fondo de proyectos para el Desarrollo Regional</v>
      </c>
      <c r="F311" s="505" t="s">
        <v>3668</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2518</v>
      </c>
      <c r="O311" s="874" t="s">
        <v>4184</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874"/>
      <c r="AO311" s="874"/>
      <c r="AP311" s="874"/>
      <c r="AQ311" s="888"/>
      <c r="AR311" s="985"/>
      <c r="AS311" s="1254"/>
      <c r="AT311" s="1718"/>
      <c r="AU311" s="1718"/>
      <c r="AV311" s="1718"/>
      <c r="AW311" s="1718"/>
      <c r="AX311" s="1718"/>
      <c r="AY311" s="1718"/>
      <c r="AZ311" s="1718"/>
      <c r="BA311" s="1718"/>
      <c r="BB311" s="1718"/>
      <c r="BC311" s="1718"/>
      <c r="BD311" s="1718"/>
      <c r="BE311" s="1718"/>
      <c r="BF311" s="1718"/>
      <c r="BG311" s="1718"/>
      <c r="BH311" s="1718"/>
      <c r="BI311" s="33"/>
      <c r="BJ311" s="12"/>
    </row>
    <row r="312" spans="1:62" ht="117" hidden="1" customHeight="1">
      <c r="A312" s="16">
        <f>OBRA!K310</f>
        <v>2018</v>
      </c>
      <c r="B312" s="781" t="s">
        <v>1563</v>
      </c>
      <c r="C312" s="781">
        <v>181.17</v>
      </c>
      <c r="D312" s="781"/>
      <c r="E312" s="2" t="str">
        <f>OBRA!N310</f>
        <v>Fondo de proyectos para el Desarrollo Regional</v>
      </c>
      <c r="F312" s="505" t="s">
        <v>3668</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4185</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874"/>
      <c r="AO312" s="874"/>
      <c r="AP312" s="874"/>
      <c r="AQ312" s="888"/>
      <c r="AR312" s="985"/>
      <c r="AS312" s="1254"/>
      <c r="AT312" s="1718"/>
      <c r="AU312" s="1718"/>
      <c r="AV312" s="1718"/>
      <c r="AW312" s="1718"/>
      <c r="AX312" s="1718"/>
      <c r="AY312" s="1718"/>
      <c r="AZ312" s="1718"/>
      <c r="BA312" s="1718"/>
      <c r="BB312" s="1718"/>
      <c r="BC312" s="1718"/>
      <c r="BD312" s="1718"/>
      <c r="BE312" s="1718"/>
      <c r="BF312" s="1718"/>
      <c r="BG312" s="1718"/>
      <c r="BH312" s="1718"/>
      <c r="BI312" s="33"/>
      <c r="BJ312" s="12"/>
    </row>
    <row r="313" spans="1:62"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1240"/>
      <c r="AO313" s="532"/>
      <c r="AP313" s="532"/>
      <c r="AQ313" s="527" t="s">
        <v>2022</v>
      </c>
      <c r="AR313" s="494"/>
      <c r="AS313" s="566"/>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1239"/>
      <c r="AO314" s="530"/>
      <c r="AP314" s="646"/>
      <c r="AQ314" s="530"/>
      <c r="AR314" s="530"/>
      <c r="AS314" s="567"/>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2578</v>
      </c>
      <c r="O315" s="874" t="s">
        <v>4186</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874"/>
      <c r="AO315" s="1328"/>
      <c r="AP315" s="1328"/>
      <c r="AQ315" s="1329"/>
      <c r="AR315" s="995"/>
      <c r="AS315" s="566"/>
      <c r="AT315" s="1718"/>
      <c r="AU315" s="1718"/>
      <c r="AV315" s="1718"/>
      <c r="AW315" s="1718"/>
      <c r="AX315" s="1718"/>
      <c r="AY315" s="1718"/>
      <c r="AZ315" s="1718"/>
      <c r="BA315" s="1718"/>
      <c r="BB315" s="1718"/>
      <c r="BC315" s="1718"/>
      <c r="BD315" s="1718"/>
      <c r="BE315" s="1718"/>
      <c r="BF315" s="1718"/>
      <c r="BG315" s="1718"/>
      <c r="BH315" s="1718"/>
      <c r="BI315" s="33"/>
      <c r="BJ315" s="12"/>
    </row>
    <row r="316" spans="1:62"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3491</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3185</v>
      </c>
      <c r="Z316" s="146" t="str">
        <f>OBRA!X314</f>
        <v>C. NORMA GORETY DOMINGUEZ CALVARIO</v>
      </c>
      <c r="AA316" s="146"/>
      <c r="AB316" s="148" t="str">
        <f t="shared" si="15"/>
        <v>C. NORMA GORETY DOMINGUEZ CALVARIO</v>
      </c>
      <c r="AC316" s="2" t="s">
        <v>2962</v>
      </c>
      <c r="AD316" s="146" t="s">
        <v>2962</v>
      </c>
      <c r="AE316" s="184" t="str">
        <f>OBRA!Y314</f>
        <v>ING. JUAN MANUEL GARCIA ESCOTO</v>
      </c>
      <c r="AF316" s="555">
        <v>1032</v>
      </c>
      <c r="AG316" s="2" t="s">
        <v>1548</v>
      </c>
      <c r="AH316" s="607">
        <f t="shared" si="12"/>
        <v>818.43294573643414</v>
      </c>
      <c r="AI316" s="2">
        <v>21500</v>
      </c>
      <c r="AJ316" s="156" t="s">
        <v>1451</v>
      </c>
      <c r="AK316" s="514"/>
      <c r="AL316" s="514"/>
      <c r="AM316" s="514"/>
      <c r="AN316" s="1311" t="s">
        <v>3669</v>
      </c>
      <c r="AO316" s="874"/>
      <c r="AP316" s="874"/>
      <c r="AQ316" s="888"/>
      <c r="AR316" s="985"/>
      <c r="AS316" s="1254"/>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2607</v>
      </c>
      <c r="O317" s="505" t="s">
        <v>3491</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2891</v>
      </c>
      <c r="AE317" s="184" t="str">
        <f>OBRA!Y315</f>
        <v>ING. JUAN MANUEL GARCIA ESCOTO</v>
      </c>
      <c r="AF317" s="555">
        <v>541</v>
      </c>
      <c r="AG317" s="2" t="s">
        <v>1450</v>
      </c>
      <c r="AH317" s="607">
        <f t="shared" si="12"/>
        <v>2479.7360073937152</v>
      </c>
      <c r="AI317" s="2">
        <v>3900</v>
      </c>
      <c r="AJ317" s="156" t="s">
        <v>1451</v>
      </c>
      <c r="AK317" s="514"/>
      <c r="AL317" s="514"/>
      <c r="AM317" s="514"/>
      <c r="AN317" s="1312" t="s">
        <v>3692</v>
      </c>
      <c r="AO317" s="532"/>
      <c r="AP317" s="1315" t="s">
        <v>3692</v>
      </c>
      <c r="AQ317" s="1313" t="s">
        <v>3692</v>
      </c>
      <c r="AR317" s="1262"/>
      <c r="AS317" s="1320" t="s">
        <v>3692</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2607</v>
      </c>
      <c r="O318" s="505" t="s">
        <v>3491</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2891</v>
      </c>
      <c r="AE318" s="184" t="str">
        <f>OBRA!Y316</f>
        <v>ING. JUAN MANUEL GARCIA ESCOTO</v>
      </c>
      <c r="AF318" s="555">
        <v>541</v>
      </c>
      <c r="AG318" s="2" t="s">
        <v>1450</v>
      </c>
      <c r="AH318" s="607">
        <f t="shared" si="12"/>
        <v>2409.3851016635863</v>
      </c>
      <c r="AI318" s="2">
        <v>3900</v>
      </c>
      <c r="AJ318" s="156" t="s">
        <v>1451</v>
      </c>
      <c r="AK318" s="514"/>
      <c r="AL318" s="514"/>
      <c r="AM318" s="514"/>
      <c r="AN318" s="1312" t="s">
        <v>3693</v>
      </c>
      <c r="AO318" s="532"/>
      <c r="AP318" s="1315" t="s">
        <v>3693</v>
      </c>
      <c r="AQ318" s="1313" t="s">
        <v>3693</v>
      </c>
      <c r="AR318" s="1262"/>
      <c r="AS318" s="1320" t="s">
        <v>3693</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3491</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3186</v>
      </c>
      <c r="Z319" s="146" t="s">
        <v>2034</v>
      </c>
      <c r="AA319" s="146"/>
      <c r="AB319" s="148" t="s">
        <v>255</v>
      </c>
      <c r="AC319" s="146" t="s">
        <v>2035</v>
      </c>
      <c r="AD319" s="146" t="s">
        <v>3043</v>
      </c>
      <c r="AE319" s="184" t="str">
        <f>OBRA!Y317</f>
        <v>ARQ. CESAR ANTONIO ALONSO JIMENEZ</v>
      </c>
      <c r="AF319" s="19">
        <v>1</v>
      </c>
      <c r="AG319" s="2" t="s">
        <v>1573</v>
      </c>
      <c r="AH319" s="554">
        <f t="shared" si="12"/>
        <v>0</v>
      </c>
      <c r="AI319" s="2">
        <v>21500</v>
      </c>
      <c r="AJ319" s="156" t="s">
        <v>1451</v>
      </c>
      <c r="AK319" s="514"/>
      <c r="AL319" s="514"/>
      <c r="AM319" s="514"/>
      <c r="AN319" s="1312" t="s">
        <v>3670</v>
      </c>
      <c r="AO319" s="1315" t="s">
        <v>3670</v>
      </c>
      <c r="AP319" s="874"/>
      <c r="AQ319" s="1313" t="s">
        <v>3670</v>
      </c>
      <c r="AR319" s="1262"/>
      <c r="AS319" s="566"/>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2527</v>
      </c>
      <c r="O320" s="505" t="s">
        <v>3491</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3187</v>
      </c>
      <c r="Z320" s="146" t="str">
        <f>OBRA!X318</f>
        <v xml:space="preserve">GRUPO DESARROLLADOR INMOBILIARIO CEMERAMA S.A. DE C.V. </v>
      </c>
      <c r="AA320" s="146"/>
      <c r="AB320" s="148" t="s">
        <v>1833</v>
      </c>
      <c r="AC320" s="146" t="s">
        <v>1834</v>
      </c>
      <c r="AD320" s="146" t="s">
        <v>3044</v>
      </c>
      <c r="AE320" s="184" t="str">
        <f>OBRA!Y318</f>
        <v>LIC. SALVADOR CONTRERAS OLGUÍN</v>
      </c>
      <c r="AF320" s="555">
        <v>450</v>
      </c>
      <c r="AG320" s="2" t="s">
        <v>1450</v>
      </c>
      <c r="AH320" s="607">
        <f t="shared" si="12"/>
        <v>1258.1545777777778</v>
      </c>
      <c r="AI320" s="2">
        <v>3400</v>
      </c>
      <c r="AJ320" s="156" t="s">
        <v>1451</v>
      </c>
      <c r="AK320" s="514"/>
      <c r="AL320" s="514"/>
      <c r="AM320" s="514"/>
      <c r="AN320" s="1312" t="s">
        <v>3671</v>
      </c>
      <c r="AO320" s="1310" t="s">
        <v>3671</v>
      </c>
      <c r="AP320" s="1310" t="s">
        <v>3671</v>
      </c>
      <c r="AQ320" s="1313" t="s">
        <v>3671</v>
      </c>
      <c r="AR320" s="1945"/>
      <c r="AS320" s="1314" t="s">
        <v>3671</v>
      </c>
      <c r="AT320" s="503"/>
      <c r="AU320" s="503"/>
      <c r="AV320" s="503"/>
      <c r="AW320" s="503"/>
      <c r="AX320" s="503"/>
      <c r="AY320" s="503"/>
      <c r="AZ320" s="503"/>
      <c r="BA320" s="503"/>
      <c r="BB320" s="503"/>
      <c r="BC320" s="503"/>
      <c r="BD320" s="503"/>
      <c r="BE320" s="503"/>
      <c r="BF320" s="503"/>
      <c r="BG320" s="503"/>
      <c r="BH320" s="503"/>
      <c r="BI320" s="33" t="s">
        <v>550</v>
      </c>
      <c r="BJ320" s="12"/>
    </row>
    <row r="321" spans="1:62"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2527</v>
      </c>
      <c r="O321" s="505" t="s">
        <v>3491</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3188</v>
      </c>
      <c r="Z321" s="146" t="s">
        <v>2040</v>
      </c>
      <c r="AA321" s="146"/>
      <c r="AB321" s="148" t="s">
        <v>1027</v>
      </c>
      <c r="AC321" s="146" t="s">
        <v>2041</v>
      </c>
      <c r="AD321" s="146" t="s">
        <v>3045</v>
      </c>
      <c r="AE321" s="184" t="str">
        <f>OBRA!Y319</f>
        <v>ARQ. CESAR ANTONIO ALONSO JIMENEZ</v>
      </c>
      <c r="AF321" s="19">
        <v>140.56</v>
      </c>
      <c r="AG321" s="2" t="s">
        <v>1450</v>
      </c>
      <c r="AH321" s="607">
        <f t="shared" si="12"/>
        <v>2445.2603158793395</v>
      </c>
      <c r="AI321" s="2">
        <v>6000</v>
      </c>
      <c r="AJ321" s="156" t="s">
        <v>1451</v>
      </c>
      <c r="AK321" s="514"/>
      <c r="AL321" s="514"/>
      <c r="AM321" s="514"/>
      <c r="AN321" s="1312" t="s">
        <v>3672</v>
      </c>
      <c r="AO321" s="874"/>
      <c r="AP321" s="1315" t="s">
        <v>3672</v>
      </c>
      <c r="AQ321" s="1313" t="s">
        <v>3672</v>
      </c>
      <c r="AR321" s="1945"/>
      <c r="AS321" s="1314" t="s">
        <v>3672</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1239"/>
      <c r="AO322" s="530"/>
      <c r="AP322" s="646"/>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2527</v>
      </c>
      <c r="O323" s="505" t="s">
        <v>3491</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3189</v>
      </c>
      <c r="Z323" s="146" t="str">
        <f>OBRA!X321</f>
        <v xml:space="preserve">GRUPO DESARROLLADOR INMOBILIARIO CEMERAMA S.A. DE C.V. </v>
      </c>
      <c r="AA323" s="146"/>
      <c r="AB323" s="148" t="str">
        <f>Z323</f>
        <v xml:space="preserve">GRUPO DESARROLLADOR INMOBILIARIO CEMERAMA S.A. DE C.V. </v>
      </c>
      <c r="AC323" s="146" t="s">
        <v>1834</v>
      </c>
      <c r="AD323" s="146" t="s">
        <v>3044</v>
      </c>
      <c r="AE323" s="184" t="str">
        <f>OBRA!Y321</f>
        <v>LIC. SALVADOR CONTRERAS OLGUÍN</v>
      </c>
      <c r="AF323" s="555">
        <v>92</v>
      </c>
      <c r="AG323" s="2" t="s">
        <v>1450</v>
      </c>
      <c r="AH323" s="607">
        <f t="shared" si="12"/>
        <v>1544.0190217391305</v>
      </c>
      <c r="AI323" s="2">
        <v>150</v>
      </c>
      <c r="AJ323" s="156" t="s">
        <v>1443</v>
      </c>
      <c r="AK323" s="514"/>
      <c r="AL323" s="514"/>
      <c r="AM323" s="514"/>
      <c r="AN323" s="1312" t="s">
        <v>3673</v>
      </c>
      <c r="AO323" s="1315" t="s">
        <v>3673</v>
      </c>
      <c r="AP323" s="1315" t="s">
        <v>3673</v>
      </c>
      <c r="AQ323" s="1313" t="s">
        <v>3673</v>
      </c>
      <c r="AR323" s="1945"/>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3491</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3190</v>
      </c>
      <c r="Z324" s="146" t="str">
        <f>OBRA!X322</f>
        <v>ING. JOSE VALENTIN ZARATE RIVERA</v>
      </c>
      <c r="AA324" s="146"/>
      <c r="AB324" s="148" t="str">
        <f>Z324</f>
        <v>ING. JOSE VALENTIN ZARATE RIVERA</v>
      </c>
      <c r="AC324" s="2" t="s">
        <v>2962</v>
      </c>
      <c r="AD324" s="146" t="s">
        <v>2962</v>
      </c>
      <c r="AE324" s="184" t="str">
        <f>OBRA!Y322</f>
        <v>ING. JUAN MANUEL GARCIA ESCOTO</v>
      </c>
      <c r="AF324" s="19">
        <v>11</v>
      </c>
      <c r="AG324" s="2" t="s">
        <v>1757</v>
      </c>
      <c r="AH324" s="184">
        <f t="shared" si="12"/>
        <v>47879.656363636364</v>
      </c>
      <c r="AI324" s="2">
        <v>21500</v>
      </c>
      <c r="AJ324" s="156" t="s">
        <v>1451</v>
      </c>
      <c r="AK324" s="514"/>
      <c r="AL324" s="514"/>
      <c r="AM324" s="514"/>
      <c r="AN324" s="1312" t="s">
        <v>3677</v>
      </c>
      <c r="AO324" s="1315" t="s">
        <v>3677</v>
      </c>
      <c r="AP324" s="1315" t="s">
        <v>3677</v>
      </c>
      <c r="AQ324" s="1313" t="s">
        <v>3677</v>
      </c>
      <c r="AR324" s="1945"/>
      <c r="AS324" s="1314" t="s">
        <v>3677</v>
      </c>
      <c r="AT324" s="1845"/>
      <c r="AU324" s="1845"/>
      <c r="AV324" s="1845"/>
      <c r="AW324" s="1845"/>
      <c r="AX324" s="1845"/>
      <c r="AY324" s="1845"/>
      <c r="AZ324" s="1845"/>
      <c r="BA324" s="1845"/>
      <c r="BB324" s="1845"/>
      <c r="BC324" s="1845"/>
      <c r="BD324" s="1845"/>
      <c r="BE324" s="1845"/>
      <c r="BF324" s="1845"/>
      <c r="BG324" s="1845"/>
      <c r="BH324" s="1845"/>
      <c r="BI324" s="178" t="s">
        <v>550</v>
      </c>
      <c r="BJ324" s="15"/>
    </row>
    <row r="325" spans="1:62"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2607</v>
      </c>
      <c r="O325" s="505" t="s">
        <v>3491</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3191</v>
      </c>
      <c r="Z325" s="146" t="str">
        <f>OBRA!X323</f>
        <v>LIC. CARLOS MANUEL PELAYO CERVERA</v>
      </c>
      <c r="AA325" s="146"/>
      <c r="AB325" s="148" t="str">
        <f>Z325</f>
        <v>LIC. CARLOS MANUEL PELAYO CERVERA</v>
      </c>
      <c r="AC325" s="2" t="s">
        <v>2962</v>
      </c>
      <c r="AD325" s="146" t="s">
        <v>2962</v>
      </c>
      <c r="AE325" s="184" t="str">
        <f>OBRA!Y323</f>
        <v>ARQ. CESAR ANTONIO ALONSO JIMENEZ</v>
      </c>
      <c r="AF325" s="555">
        <v>120</v>
      </c>
      <c r="AG325" s="2" t="s">
        <v>1450</v>
      </c>
      <c r="AH325" s="607">
        <f t="shared" si="12"/>
        <v>1476.5175833333333</v>
      </c>
      <c r="AI325" s="2">
        <v>50</v>
      </c>
      <c r="AJ325" s="156" t="s">
        <v>1443</v>
      </c>
      <c r="AK325" s="514"/>
      <c r="AL325" s="514"/>
      <c r="AM325" s="514"/>
      <c r="AN325" s="1312" t="s">
        <v>3674</v>
      </c>
      <c r="AO325" s="1315" t="s">
        <v>3674</v>
      </c>
      <c r="AP325" s="1315" t="s">
        <v>3674</v>
      </c>
      <c r="AQ325" s="1316" t="s">
        <v>3674</v>
      </c>
      <c r="AR325" s="1946"/>
      <c r="AS325" s="1317" t="s">
        <v>3674</v>
      </c>
      <c r="AT325" s="1845"/>
      <c r="AU325" s="1845"/>
      <c r="AV325" s="1845"/>
      <c r="AW325" s="1845"/>
      <c r="AX325" s="1845"/>
      <c r="AY325" s="1845"/>
      <c r="AZ325" s="1845"/>
      <c r="BA325" s="1845"/>
      <c r="BB325" s="1845"/>
      <c r="BC325" s="1845"/>
      <c r="BD325" s="1845"/>
      <c r="BE325" s="1845"/>
      <c r="BF325" s="1845"/>
      <c r="BG325" s="1845"/>
      <c r="BH325" s="1845"/>
      <c r="BI325" s="700" t="s">
        <v>550</v>
      </c>
      <c r="BJ325" s="23"/>
    </row>
    <row r="326" spans="1:62"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2607</v>
      </c>
      <c r="O326" s="505" t="s">
        <v>3492</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3192</v>
      </c>
      <c r="Z326" s="146" t="str">
        <f>OBRA!X324</f>
        <v>LIC. CARLOS MANUEL PELAYO CERVERA</v>
      </c>
      <c r="AA326" s="146"/>
      <c r="AB326" s="148" t="str">
        <f>Z326</f>
        <v>LIC. CARLOS MANUEL PELAYO CERVERA</v>
      </c>
      <c r="AC326" s="2" t="s">
        <v>2962</v>
      </c>
      <c r="AD326" s="146" t="s">
        <v>2962</v>
      </c>
      <c r="AE326" s="184" t="str">
        <f>OBRA!Y324</f>
        <v>ARQ. CESAR ANTONIO ALONSO JIMENEZ</v>
      </c>
      <c r="AF326" s="555">
        <v>120</v>
      </c>
      <c r="AG326" s="2" t="s">
        <v>1450</v>
      </c>
      <c r="AH326" s="607">
        <f t="shared" si="12"/>
        <v>2057.5071666666668</v>
      </c>
      <c r="AI326" s="2">
        <v>50</v>
      </c>
      <c r="AJ326" s="156" t="s">
        <v>1443</v>
      </c>
      <c r="AK326" s="514"/>
      <c r="AL326" s="514"/>
      <c r="AM326" s="514"/>
      <c r="AN326" s="1312" t="s">
        <v>3675</v>
      </c>
      <c r="AO326" s="1313" t="s">
        <v>3675</v>
      </c>
      <c r="AP326" s="1313" t="s">
        <v>3675</v>
      </c>
      <c r="AQ326" s="1316" t="s">
        <v>3675</v>
      </c>
      <c r="AR326" s="1946"/>
      <c r="AS326" s="1317" t="s">
        <v>3675</v>
      </c>
      <c r="AT326" s="1845"/>
      <c r="AU326" s="1845"/>
      <c r="AV326" s="1845"/>
      <c r="AW326" s="1845"/>
      <c r="AX326" s="1845"/>
      <c r="AY326" s="1845"/>
      <c r="AZ326" s="1845"/>
      <c r="BA326" s="1845"/>
      <c r="BB326" s="1845"/>
      <c r="BC326" s="1845"/>
      <c r="BD326" s="1845"/>
      <c r="BE326" s="1845"/>
      <c r="BF326" s="1845"/>
      <c r="BG326" s="1845"/>
      <c r="BH326" s="1845"/>
      <c r="BI326" s="700" t="s">
        <v>550</v>
      </c>
      <c r="BJ326" s="23"/>
    </row>
    <row r="327" spans="1:62" ht="123" hidden="1" customHeight="1">
      <c r="A327" s="16">
        <f>OBRA!K325</f>
        <v>2018</v>
      </c>
      <c r="B327" s="781" t="s">
        <v>1563</v>
      </c>
      <c r="C327" s="781">
        <v>186.12</v>
      </c>
      <c r="D327" s="781"/>
      <c r="E327" s="2" t="str">
        <f>OBRA!N325</f>
        <v>FONDEREG</v>
      </c>
      <c r="F327" s="505" t="s">
        <v>3668</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2580</v>
      </c>
      <c r="O327" s="505" t="s">
        <v>3492</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3190</v>
      </c>
      <c r="Z327" s="146" t="str">
        <f>OBRA!X325</f>
        <v>BIRMEK CONSTRUCCIONES S.A. DE C.V.</v>
      </c>
      <c r="AA327" s="146"/>
      <c r="AB327" s="148" t="s">
        <v>2049</v>
      </c>
      <c r="AC327" s="2" t="s">
        <v>2050</v>
      </c>
      <c r="AD327" s="2" t="s">
        <v>3046</v>
      </c>
      <c r="AE327" s="184" t="str">
        <f>OBRA!Y325</f>
        <v>ING. RIGOBERTO OLMEDO RAMOS</v>
      </c>
      <c r="AF327" s="555">
        <v>30</v>
      </c>
      <c r="AG327" s="2" t="s">
        <v>1757</v>
      </c>
      <c r="AH327" s="184">
        <f t="shared" si="12"/>
        <v>24134.564000000002</v>
      </c>
      <c r="AI327" s="2">
        <v>33000</v>
      </c>
      <c r="AJ327" s="156" t="s">
        <v>1451</v>
      </c>
      <c r="AK327" s="514"/>
      <c r="AL327" s="514"/>
      <c r="AM327" s="514"/>
      <c r="AN327" s="1312" t="s">
        <v>3676</v>
      </c>
      <c r="AO327" s="1315" t="s">
        <v>3676</v>
      </c>
      <c r="AP327" s="1315" t="s">
        <v>3676</v>
      </c>
      <c r="AQ327" s="1313" t="s">
        <v>3676</v>
      </c>
      <c r="AR327" s="1945"/>
      <c r="AS327" s="1314" t="s">
        <v>3676</v>
      </c>
      <c r="AT327" s="503"/>
      <c r="AU327" s="503"/>
      <c r="AV327" s="503"/>
      <c r="AW327" s="503"/>
      <c r="AX327" s="503"/>
      <c r="AY327" s="503"/>
      <c r="AZ327" s="503"/>
      <c r="BA327" s="503"/>
      <c r="BB327" s="503"/>
      <c r="BC327" s="503"/>
      <c r="BD327" s="503"/>
      <c r="BE327" s="503"/>
      <c r="BF327" s="503"/>
      <c r="BG327" s="503"/>
      <c r="BH327" s="503"/>
      <c r="BI327" s="54" t="s">
        <v>550</v>
      </c>
      <c r="BJ327" s="318"/>
    </row>
    <row r="328" spans="1:62" ht="111.75" hidden="1" customHeight="1">
      <c r="A328" s="16">
        <f>OBRA!K326</f>
        <v>2018</v>
      </c>
      <c r="B328" s="781" t="s">
        <v>1563</v>
      </c>
      <c r="C328" s="781">
        <v>186.13</v>
      </c>
      <c r="D328" s="781"/>
      <c r="E328" s="2" t="str">
        <f>OBRA!N326</f>
        <v>FONDEREG</v>
      </c>
      <c r="F328" s="505" t="s">
        <v>3668</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3492</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46"/>
      <c r="AB328" s="148" t="str">
        <f>Z328</f>
        <v>ING. SERGIO CABRERA</v>
      </c>
      <c r="AC328" s="2" t="s">
        <v>2962</v>
      </c>
      <c r="AD328" s="146" t="s">
        <v>2962</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1312" t="s">
        <v>3694</v>
      </c>
      <c r="AO328" s="1315" t="s">
        <v>3694</v>
      </c>
      <c r="AP328" s="1315" t="s">
        <v>3694</v>
      </c>
      <c r="AQ328" s="1285" t="s">
        <v>3694</v>
      </c>
      <c r="AR328" s="1263"/>
      <c r="AS328" s="1314" t="s">
        <v>3694</v>
      </c>
      <c r="AT328" s="494"/>
      <c r="AU328" s="494"/>
      <c r="AV328" s="494"/>
      <c r="AW328" s="494"/>
      <c r="AX328" s="494"/>
      <c r="AY328" s="494"/>
      <c r="AZ328" s="494"/>
      <c r="BA328" s="494"/>
      <c r="BB328" s="494"/>
      <c r="BC328" s="494"/>
      <c r="BD328" s="494"/>
      <c r="BE328" s="494"/>
      <c r="BF328" s="494"/>
      <c r="BG328" s="494"/>
      <c r="BH328" s="494"/>
      <c r="BI328" s="33" t="s">
        <v>550</v>
      </c>
      <c r="BJ328" s="12"/>
    </row>
    <row r="329" spans="1:62"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2962</v>
      </c>
      <c r="AD329" s="147" t="s">
        <v>2962</v>
      </c>
      <c r="AE329" s="185" t="str">
        <f>OBRA!Y327</f>
        <v>ING. J. GUADALUPE IBARRA RAMIREZ</v>
      </c>
      <c r="AF329" s="84"/>
      <c r="AG329" s="85" t="s">
        <v>1548</v>
      </c>
      <c r="AH329" s="185" t="e">
        <f t="shared" si="18"/>
        <v>#DIV/0!</v>
      </c>
      <c r="AI329" s="562"/>
      <c r="AJ329" s="83"/>
      <c r="AK329" s="530"/>
      <c r="AL329" s="530"/>
      <c r="AM329" s="530"/>
      <c r="AN329" s="1239"/>
      <c r="AO329" s="530"/>
      <c r="AP329" s="646"/>
      <c r="AQ329" s="824" t="s">
        <v>2056</v>
      </c>
      <c r="AR329" s="824"/>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2527</v>
      </c>
      <c r="O330" s="505" t="s">
        <v>3492</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3193</v>
      </c>
      <c r="Z330" s="146" t="s">
        <v>2040</v>
      </c>
      <c r="AA330" s="146"/>
      <c r="AB330" s="148" t="s">
        <v>1027</v>
      </c>
      <c r="AC330" s="146" t="s">
        <v>2041</v>
      </c>
      <c r="AD330" s="146" t="s">
        <v>3045</v>
      </c>
      <c r="AE330" s="184" t="str">
        <f>OBRA!Y328</f>
        <v>ARQ. CESAR ANTONIO ALONSO JIMENEZ</v>
      </c>
      <c r="AF330" s="555">
        <v>140.56</v>
      </c>
      <c r="AG330" s="2" t="s">
        <v>1450</v>
      </c>
      <c r="AH330" s="607">
        <f t="shared" si="18"/>
        <v>2756.082313602732</v>
      </c>
      <c r="AI330" s="2">
        <v>6000</v>
      </c>
      <c r="AJ330" s="156" t="s">
        <v>1451</v>
      </c>
      <c r="AK330" s="514"/>
      <c r="AL330" s="514"/>
      <c r="AM330" s="514"/>
      <c r="AN330" s="1312" t="s">
        <v>3678</v>
      </c>
      <c r="AO330" s="1315" t="s">
        <v>3678</v>
      </c>
      <c r="AP330" s="1313" t="s">
        <v>3678</v>
      </c>
      <c r="AQ330" s="1313" t="s">
        <v>3678</v>
      </c>
      <c r="AR330" s="1945"/>
      <c r="AS330" s="1314" t="s">
        <v>3678</v>
      </c>
      <c r="AT330" s="503"/>
      <c r="AU330" s="503"/>
      <c r="AV330" s="503"/>
      <c r="AW330" s="503"/>
      <c r="AX330" s="503"/>
      <c r="AY330" s="503"/>
      <c r="AZ330" s="503"/>
      <c r="BA330" s="503"/>
      <c r="BB330" s="503"/>
      <c r="BC330" s="503"/>
      <c r="BD330" s="503"/>
      <c r="BE330" s="503"/>
      <c r="BF330" s="503"/>
      <c r="BG330" s="503"/>
      <c r="BH330" s="503"/>
      <c r="BI330" s="33" t="s">
        <v>550</v>
      </c>
      <c r="BJ330" s="12"/>
    </row>
    <row r="331" spans="1:62"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3492</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3194</v>
      </c>
      <c r="Z331" s="146" t="str">
        <f>OBRA!X329</f>
        <v>C. NORMA GORETY DOMINGUEZ CALVARIO</v>
      </c>
      <c r="AA331" s="146"/>
      <c r="AB331" s="148" t="str">
        <f t="shared" ref="AB331:AB336" si="20">Z331</f>
        <v>C. NORMA GORETY DOMINGUEZ CALVARIO</v>
      </c>
      <c r="AC331" s="2" t="s">
        <v>2962</v>
      </c>
      <c r="AD331" s="146" t="s">
        <v>2962</v>
      </c>
      <c r="AE331" s="184" t="str">
        <f>OBRA!Y329</f>
        <v>ING. JUAN MANUEL GARCIA ESCOTO</v>
      </c>
      <c r="AF331" s="19">
        <v>345.04</v>
      </c>
      <c r="AG331" s="2" t="s">
        <v>1548</v>
      </c>
      <c r="AH331" s="607">
        <f t="shared" si="18"/>
        <v>2348.3919835381403</v>
      </c>
      <c r="AI331" s="2">
        <v>21500</v>
      </c>
      <c r="AJ331" s="156" t="s">
        <v>1451</v>
      </c>
      <c r="AK331" s="514"/>
      <c r="AL331" s="514"/>
      <c r="AM331" s="514"/>
      <c r="AN331" s="1240"/>
      <c r="AO331" s="874"/>
      <c r="AP331" s="874"/>
      <c r="AQ331" s="888"/>
      <c r="AR331" s="1258"/>
      <c r="AS331" s="887"/>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3492</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3195</v>
      </c>
      <c r="Z332" s="146" t="str">
        <f>OBRA!X330</f>
        <v>C. JOSÉ MIGUEL GARCIA VALLE</v>
      </c>
      <c r="AA332" s="146"/>
      <c r="AB332" s="148" t="str">
        <f t="shared" si="20"/>
        <v>C. JOSÉ MIGUEL GARCIA VALLE</v>
      </c>
      <c r="AC332" s="2" t="s">
        <v>2962</v>
      </c>
      <c r="AD332" s="146" t="s">
        <v>2962</v>
      </c>
      <c r="AE332" s="184" t="str">
        <f>OBRA!Y330</f>
        <v>ING. JUAN MANUEL GARCIA ESCOTO</v>
      </c>
      <c r="AF332" s="19">
        <v>467.1</v>
      </c>
      <c r="AG332" s="2" t="s">
        <v>1548</v>
      </c>
      <c r="AH332" s="607">
        <f t="shared" si="18"/>
        <v>2311.0749518304433</v>
      </c>
      <c r="AI332" s="2">
        <v>21500</v>
      </c>
      <c r="AJ332" s="156" t="s">
        <v>1451</v>
      </c>
      <c r="AK332" s="514"/>
      <c r="AL332" s="514"/>
      <c r="AM332" s="514"/>
      <c r="AN332" s="1312" t="s">
        <v>3679</v>
      </c>
      <c r="AO332" s="1315" t="s">
        <v>3679</v>
      </c>
      <c r="AP332" s="1315" t="s">
        <v>3679</v>
      </c>
      <c r="AQ332" s="1313" t="s">
        <v>3679</v>
      </c>
      <c r="AR332" s="1945"/>
      <c r="AS332" s="1314" t="s">
        <v>3679</v>
      </c>
      <c r="AT332" s="503"/>
      <c r="AU332" s="503"/>
      <c r="AV332" s="503"/>
      <c r="AW332" s="503"/>
      <c r="AX332" s="503"/>
      <c r="AY332" s="503"/>
      <c r="AZ332" s="503"/>
      <c r="BA332" s="503"/>
      <c r="BB332" s="503"/>
      <c r="BC332" s="503"/>
      <c r="BD332" s="503"/>
      <c r="BE332" s="503"/>
      <c r="BF332" s="503"/>
      <c r="BG332" s="503"/>
      <c r="BH332" s="503"/>
      <c r="BI332" s="33" t="s">
        <v>550</v>
      </c>
      <c r="BJ332" s="12"/>
    </row>
    <row r="333" spans="1:62"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3492</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3196</v>
      </c>
      <c r="Z333" s="146" t="str">
        <f>OBRA!X331</f>
        <v>C. NORMA GORETY DOMINGUEZ CALVARIO</v>
      </c>
      <c r="AA333" s="146"/>
      <c r="AB333" s="148" t="str">
        <f t="shared" si="20"/>
        <v>C. NORMA GORETY DOMINGUEZ CALVARIO</v>
      </c>
      <c r="AC333" s="2" t="s">
        <v>2962</v>
      </c>
      <c r="AD333" s="146" t="s">
        <v>2962</v>
      </c>
      <c r="AE333" s="184" t="str">
        <f>OBRA!Y331</f>
        <v>ING. JUAN MANUEL GARCIA ESCOTO</v>
      </c>
      <c r="AF333" s="19">
        <v>1</v>
      </c>
      <c r="AG333" s="2" t="s">
        <v>1573</v>
      </c>
      <c r="AH333" s="184">
        <f t="shared" si="18"/>
        <v>409917.97</v>
      </c>
      <c r="AI333" s="2">
        <v>21500</v>
      </c>
      <c r="AJ333" s="156" t="s">
        <v>1451</v>
      </c>
      <c r="AK333" s="514"/>
      <c r="AL333" s="514"/>
      <c r="AM333" s="514"/>
      <c r="AN333" s="1312" t="s">
        <v>3680</v>
      </c>
      <c r="AO333" s="1315" t="s">
        <v>3680</v>
      </c>
      <c r="AP333" s="1315" t="s">
        <v>3680</v>
      </c>
      <c r="AQ333" s="1313" t="s">
        <v>3680</v>
      </c>
      <c r="AR333" s="1945"/>
      <c r="AS333" s="1314" t="s">
        <v>3680</v>
      </c>
      <c r="AT333" s="503"/>
      <c r="AU333" s="503"/>
      <c r="AV333" s="503"/>
      <c r="AW333" s="503"/>
      <c r="AX333" s="503"/>
      <c r="AY333" s="503"/>
      <c r="AZ333" s="503"/>
      <c r="BA333" s="503"/>
      <c r="BB333" s="503"/>
      <c r="BC333" s="503"/>
      <c r="BD333" s="503"/>
      <c r="BE333" s="503"/>
      <c r="BF333" s="503"/>
      <c r="BG333" s="503"/>
      <c r="BH333" s="503"/>
      <c r="BI333" s="33" t="s">
        <v>550</v>
      </c>
      <c r="BJ333" s="12"/>
    </row>
    <row r="334" spans="1:62"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3492</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3196</v>
      </c>
      <c r="Z334" s="146" t="str">
        <f>OBRA!X332</f>
        <v>C. NORMA GORETY DOMINGUEZ CALVARIO</v>
      </c>
      <c r="AA334" s="146"/>
      <c r="AB334" s="148" t="str">
        <f t="shared" si="20"/>
        <v>C. NORMA GORETY DOMINGUEZ CALVARIO</v>
      </c>
      <c r="AC334" s="2" t="s">
        <v>2962</v>
      </c>
      <c r="AD334" s="146" t="s">
        <v>2962</v>
      </c>
      <c r="AE334" s="184" t="str">
        <f>OBRA!Y332</f>
        <v>ING. JUAN MANUEL GARCIA ESCOTO</v>
      </c>
      <c r="AF334" s="19">
        <v>26.48</v>
      </c>
      <c r="AG334" s="2" t="s">
        <v>1450</v>
      </c>
      <c r="AH334" s="607">
        <f t="shared" si="18"/>
        <v>1346.4210725075529</v>
      </c>
      <c r="AI334" s="2">
        <v>21500</v>
      </c>
      <c r="AJ334" s="156" t="s">
        <v>1451</v>
      </c>
      <c r="AK334" s="514"/>
      <c r="AL334" s="514"/>
      <c r="AM334" s="514"/>
      <c r="AN334" s="1311" t="s">
        <v>3681</v>
      </c>
      <c r="AO334" s="1310" t="s">
        <v>3681</v>
      </c>
      <c r="AP334" s="1315" t="s">
        <v>3681</v>
      </c>
      <c r="AQ334" s="1285" t="s">
        <v>3681</v>
      </c>
      <c r="AR334" s="1263"/>
      <c r="AS334" s="1314" t="s">
        <v>3681</v>
      </c>
      <c r="AT334" s="503"/>
      <c r="AU334" s="503"/>
      <c r="AV334" s="503"/>
      <c r="AW334" s="503"/>
      <c r="AX334" s="503"/>
      <c r="AY334" s="503"/>
      <c r="AZ334" s="503"/>
      <c r="BA334" s="503"/>
      <c r="BB334" s="503"/>
      <c r="BC334" s="503"/>
      <c r="BD334" s="503"/>
      <c r="BE334" s="503"/>
      <c r="BF334" s="503"/>
      <c r="BG334" s="503"/>
      <c r="BH334" s="503"/>
      <c r="BI334" s="33" t="s">
        <v>550</v>
      </c>
      <c r="BJ334" s="12"/>
    </row>
    <row r="335" spans="1:62"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2527</v>
      </c>
      <c r="O335" s="505" t="s">
        <v>3492</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3197</v>
      </c>
      <c r="Z335" s="146" t="str">
        <f>OBRA!X333</f>
        <v>C. JOSÉ MIGUEL GARCIA VALLE</v>
      </c>
      <c r="AA335" s="146"/>
      <c r="AB335" s="148" t="str">
        <f t="shared" si="20"/>
        <v>C. JOSÉ MIGUEL GARCIA VALLE</v>
      </c>
      <c r="AC335" s="2" t="s">
        <v>2962</v>
      </c>
      <c r="AD335" s="146" t="s">
        <v>2962</v>
      </c>
      <c r="AE335" s="184" t="str">
        <f>OBRA!Y333</f>
        <v>ARQ. JAIME CONDE GOMEZ</v>
      </c>
      <c r="AF335" s="19">
        <v>138.9</v>
      </c>
      <c r="AG335" s="2" t="s">
        <v>1450</v>
      </c>
      <c r="AH335" s="607">
        <f t="shared" si="18"/>
        <v>1023.7323974082072</v>
      </c>
      <c r="AI335" s="2">
        <v>250</v>
      </c>
      <c r="AJ335" s="156" t="s">
        <v>1443</v>
      </c>
      <c r="AK335" s="514"/>
      <c r="AL335" s="514"/>
      <c r="AM335" s="514"/>
      <c r="AN335" s="1311" t="s">
        <v>3682</v>
      </c>
      <c r="AO335" s="1315" t="s">
        <v>3682</v>
      </c>
      <c r="AP335" s="1315" t="s">
        <v>3682</v>
      </c>
      <c r="AQ335" s="1313" t="s">
        <v>3682</v>
      </c>
      <c r="AR335" s="1945"/>
      <c r="AS335" s="1314" t="s">
        <v>3682</v>
      </c>
      <c r="AT335" s="503"/>
      <c r="AU335" s="503"/>
      <c r="AV335" s="503"/>
      <c r="AW335" s="503"/>
      <c r="AX335" s="503"/>
      <c r="AY335" s="503"/>
      <c r="AZ335" s="503"/>
      <c r="BA335" s="503"/>
      <c r="BB335" s="503"/>
      <c r="BC335" s="503"/>
      <c r="BD335" s="503"/>
      <c r="BE335" s="503"/>
      <c r="BF335" s="503"/>
      <c r="BG335" s="503"/>
      <c r="BH335" s="503"/>
      <c r="BI335" s="33" t="s">
        <v>550</v>
      </c>
      <c r="BJ335" s="12"/>
    </row>
    <row r="336" spans="1:62"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2527</v>
      </c>
      <c r="O336" s="467" t="s">
        <v>3493</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3198</v>
      </c>
      <c r="Z336" s="146" t="str">
        <f>OBRA!X334</f>
        <v>C. JOSÉ MIGUEL GARCIA VALLE</v>
      </c>
      <c r="AA336" s="146"/>
      <c r="AB336" s="148" t="str">
        <f t="shared" si="20"/>
        <v>C. JOSÉ MIGUEL GARCIA VALLE</v>
      </c>
      <c r="AC336" s="2" t="s">
        <v>2962</v>
      </c>
      <c r="AD336" s="146" t="s">
        <v>2962</v>
      </c>
      <c r="AE336" s="184" t="str">
        <f>OBRA!Y334</f>
        <v>LIC. SALVADOR CONTRERAS OLGUÍN</v>
      </c>
      <c r="AF336" s="555">
        <v>30</v>
      </c>
      <c r="AG336" s="2" t="s">
        <v>1450</v>
      </c>
      <c r="AH336" s="607">
        <f t="shared" si="18"/>
        <v>1095.7356666666667</v>
      </c>
      <c r="AI336" s="2">
        <v>150</v>
      </c>
      <c r="AJ336" s="156" t="s">
        <v>1443</v>
      </c>
      <c r="AK336" s="514"/>
      <c r="AL336" s="514"/>
      <c r="AM336" s="514"/>
      <c r="AN336" s="1240"/>
      <c r="AO336" s="874"/>
      <c r="AP336" s="874"/>
      <c r="AQ336" s="891"/>
      <c r="AR336" s="1534"/>
      <c r="AS336" s="887"/>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3493</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3199</v>
      </c>
      <c r="Z337" s="146" t="str">
        <f>OBRA!X335</f>
        <v xml:space="preserve">GRUPO DESARROLLADOR INMOBILIARIO CEMERAMA S.A. DE C.V. </v>
      </c>
      <c r="AA337" s="146"/>
      <c r="AB337" s="148" t="s">
        <v>1833</v>
      </c>
      <c r="AC337" s="146" t="s">
        <v>1834</v>
      </c>
      <c r="AD337" s="146" t="s">
        <v>3044</v>
      </c>
      <c r="AE337" s="184" t="str">
        <f>OBRA!Y335</f>
        <v>ING. JUAN MANUEL GARCIA ESCOTO</v>
      </c>
      <c r="AF337" s="19">
        <v>1</v>
      </c>
      <c r="AG337" s="2" t="s">
        <v>1573</v>
      </c>
      <c r="AH337" s="184">
        <f t="shared" si="18"/>
        <v>242768.95</v>
      </c>
      <c r="AI337" s="2">
        <v>50000</v>
      </c>
      <c r="AJ337" s="156" t="s">
        <v>1451</v>
      </c>
      <c r="AK337" s="514"/>
      <c r="AL337" s="514"/>
      <c r="AM337" s="514"/>
      <c r="AN337" s="1312" t="s">
        <v>3683</v>
      </c>
      <c r="AO337" s="532"/>
      <c r="AP337" s="532"/>
      <c r="AQ337" s="1313" t="s">
        <v>3683</v>
      </c>
      <c r="AR337" s="1945"/>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3493</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3200</v>
      </c>
      <c r="Z338" s="146" t="str">
        <f>OBRA!X336</f>
        <v xml:space="preserve">DRABSA CONSTRUCTORA S.A. DE C.V. </v>
      </c>
      <c r="AA338" s="146"/>
      <c r="AB338" s="148" t="s">
        <v>2029</v>
      </c>
      <c r="AC338" s="146" t="s">
        <v>2030</v>
      </c>
      <c r="AD338" s="146" t="s">
        <v>3047</v>
      </c>
      <c r="AE338" s="663" t="str">
        <f>OBRA!Y336</f>
        <v>ING. JUAN MANUEL GARCIA ESCOTO</v>
      </c>
      <c r="AF338" s="555">
        <v>1176</v>
      </c>
      <c r="AG338" s="2" t="s">
        <v>1548</v>
      </c>
      <c r="AH338" s="607">
        <f t="shared" si="18"/>
        <v>935.22198129251706</v>
      </c>
      <c r="AI338" s="2">
        <v>2400</v>
      </c>
      <c r="AJ338" s="156" t="s">
        <v>1451</v>
      </c>
      <c r="AK338" s="146"/>
      <c r="AL338" s="146"/>
      <c r="AM338" s="146"/>
      <c r="AN338" s="1241"/>
      <c r="AO338" s="888"/>
      <c r="AP338" s="532"/>
      <c r="AQ338" s="888"/>
      <c r="AR338" s="1947"/>
      <c r="AS338" s="579"/>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OBRA!K337</f>
        <v>2018</v>
      </c>
      <c r="B339" s="781" t="s">
        <v>1563</v>
      </c>
      <c r="C339" s="781">
        <v>186.24</v>
      </c>
      <c r="D339" s="781"/>
      <c r="E339" s="2" t="str">
        <f>OBRA!N337</f>
        <v>FOCOCI</v>
      </c>
      <c r="F339" s="502" t="s">
        <v>3668</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3493</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46"/>
      <c r="AB339" s="148" t="s">
        <v>2029</v>
      </c>
      <c r="AC339" s="146" t="s">
        <v>2030</v>
      </c>
      <c r="AD339" s="146" t="s">
        <v>2891</v>
      </c>
      <c r="AE339" s="184" t="str">
        <f>OBRA!Y337</f>
        <v>ING. RIGOBERTO OLMEDO RAMOS</v>
      </c>
      <c r="AF339" s="19">
        <v>2796.28</v>
      </c>
      <c r="AG339" s="2" t="s">
        <v>1548</v>
      </c>
      <c r="AH339" s="607">
        <f t="shared" si="18"/>
        <v>0</v>
      </c>
      <c r="AI339" s="2">
        <v>50000</v>
      </c>
      <c r="AJ339" s="156" t="s">
        <v>1451</v>
      </c>
      <c r="AK339" s="514"/>
      <c r="AL339" s="514"/>
      <c r="AM339" s="514"/>
      <c r="AN339" s="1312" t="s">
        <v>3695</v>
      </c>
      <c r="AO339" s="1315" t="s">
        <v>3695</v>
      </c>
      <c r="AP339" s="1315" t="s">
        <v>3695</v>
      </c>
      <c r="AQ339" s="1313" t="s">
        <v>3695</v>
      </c>
      <c r="AR339" s="1945"/>
      <c r="AS339" s="1314" t="s">
        <v>3695</v>
      </c>
      <c r="AT339" s="985"/>
      <c r="AU339" s="985"/>
      <c r="AV339" s="985"/>
      <c r="AW339" s="985"/>
      <c r="AX339" s="985"/>
      <c r="AY339" s="985"/>
      <c r="AZ339" s="985"/>
      <c r="BA339" s="985"/>
      <c r="BB339" s="985"/>
      <c r="BC339" s="985"/>
      <c r="BD339" s="985"/>
      <c r="BE339" s="985"/>
      <c r="BF339" s="985"/>
      <c r="BG339" s="985"/>
      <c r="BH339" s="985"/>
      <c r="BI339" s="33" t="s">
        <v>550</v>
      </c>
      <c r="BJ339" s="12"/>
    </row>
    <row r="340" spans="1:62"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2527</v>
      </c>
      <c r="O340" s="467" t="s">
        <v>3493</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3201</v>
      </c>
      <c r="Z340" s="146" t="str">
        <f>OBRA!X338</f>
        <v>BIRMEK CONSTRUCCIONES S.A. DE C.V.</v>
      </c>
      <c r="AA340" s="146"/>
      <c r="AB340" s="148" t="s">
        <v>2049</v>
      </c>
      <c r="AC340" s="146" t="s">
        <v>2050</v>
      </c>
      <c r="AD340" s="146" t="s">
        <v>3046</v>
      </c>
      <c r="AE340" s="184" t="str">
        <f>OBRA!Y338</f>
        <v>ING. LUIS RIGOBERTO OLMEDO NAVARRO</v>
      </c>
      <c r="AF340" s="19">
        <v>1</v>
      </c>
      <c r="AG340" s="2" t="s">
        <v>1462</v>
      </c>
      <c r="AH340" s="184">
        <f t="shared" si="18"/>
        <v>452456.16</v>
      </c>
      <c r="AI340" s="2">
        <v>7800</v>
      </c>
      <c r="AJ340" s="156" t="s">
        <v>1451</v>
      </c>
      <c r="AK340" s="514"/>
      <c r="AL340" s="514"/>
      <c r="AM340" s="514"/>
      <c r="AN340" s="1312" t="s">
        <v>3684</v>
      </c>
      <c r="AO340" s="1315" t="s">
        <v>3684</v>
      </c>
      <c r="AP340" s="1315" t="s">
        <v>3684</v>
      </c>
      <c r="AQ340" s="1313" t="s">
        <v>3684</v>
      </c>
      <c r="AR340" s="1945"/>
      <c r="AS340" s="1314" t="s">
        <v>3684</v>
      </c>
      <c r="AT340" s="503"/>
      <c r="AU340" s="503"/>
      <c r="AV340" s="503"/>
      <c r="AW340" s="503"/>
      <c r="AX340" s="503"/>
      <c r="AY340" s="503"/>
      <c r="AZ340" s="503"/>
      <c r="BA340" s="503"/>
      <c r="BB340" s="503"/>
      <c r="BC340" s="503"/>
      <c r="BD340" s="503"/>
      <c r="BE340" s="503"/>
      <c r="BF340" s="503"/>
      <c r="BG340" s="503"/>
      <c r="BH340" s="503"/>
      <c r="BI340" s="33" t="s">
        <v>550</v>
      </c>
      <c r="BJ340" s="12"/>
    </row>
    <row r="341" spans="1:62"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2527</v>
      </c>
      <c r="O341" s="467" t="s">
        <v>3493</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3202</v>
      </c>
      <c r="Z341" s="146" t="str">
        <f>OBRA!X339</f>
        <v xml:space="preserve">OBRAS Y EQUIPAMIENTOS HIDRAULICOS S.A. DE C.V. </v>
      </c>
      <c r="AA341" s="146"/>
      <c r="AB341" s="148" t="s">
        <v>2080</v>
      </c>
      <c r="AC341" s="146" t="s">
        <v>2081</v>
      </c>
      <c r="AD341" s="146" t="s">
        <v>3048</v>
      </c>
      <c r="AE341" s="184" t="str">
        <f>OBRA!Y339</f>
        <v>ING. LUIS RIGOBERTO OLMEDO NAVARRO</v>
      </c>
      <c r="AF341" s="19">
        <v>1</v>
      </c>
      <c r="AG341" s="2" t="s">
        <v>1462</v>
      </c>
      <c r="AH341" s="184">
        <f t="shared" si="18"/>
        <v>412725.63</v>
      </c>
      <c r="AI341" s="2">
        <v>7800</v>
      </c>
      <c r="AJ341" s="156" t="s">
        <v>1451</v>
      </c>
      <c r="AK341" s="514"/>
      <c r="AL341" s="514"/>
      <c r="AM341" s="514"/>
      <c r="AN341" s="1312" t="s">
        <v>3685</v>
      </c>
      <c r="AO341" s="1315" t="s">
        <v>3685</v>
      </c>
      <c r="AP341" s="1315" t="s">
        <v>3685</v>
      </c>
      <c r="AQ341" s="1313" t="s">
        <v>3685</v>
      </c>
      <c r="AR341" s="1945"/>
      <c r="AS341" s="1314" t="s">
        <v>3685</v>
      </c>
      <c r="AT341" s="503"/>
      <c r="AU341" s="503"/>
      <c r="AV341" s="503"/>
      <c r="AW341" s="503"/>
      <c r="AX341" s="503"/>
      <c r="AY341" s="503"/>
      <c r="AZ341" s="503"/>
      <c r="BA341" s="503"/>
      <c r="BB341" s="503"/>
      <c r="BC341" s="503"/>
      <c r="BD341" s="503"/>
      <c r="BE341" s="503"/>
      <c r="BF341" s="503"/>
      <c r="BG341" s="503"/>
      <c r="BH341" s="503"/>
      <c r="BI341" s="33" t="s">
        <v>550</v>
      </c>
      <c r="BJ341" s="12"/>
    </row>
    <row r="342" spans="1:62"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2541</v>
      </c>
      <c r="O342" s="467" t="s">
        <v>3493</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3203</v>
      </c>
      <c r="Z342" s="146" t="str">
        <f>OBRA!X340</f>
        <v>BRAILOGA CONSTRUCTORES S.A. DE C.V.</v>
      </c>
      <c r="AA342" s="146"/>
      <c r="AB342" s="148" t="s">
        <v>2084</v>
      </c>
      <c r="AC342" s="146" t="s">
        <v>2085</v>
      </c>
      <c r="AD342" s="146" t="s">
        <v>3049</v>
      </c>
      <c r="AE342" s="184" t="str">
        <f>OBRA!Y340</f>
        <v>ARQ. CESAR ANTONIO ALONSO JIMENEZ</v>
      </c>
      <c r="AF342" s="19">
        <v>300</v>
      </c>
      <c r="AG342" s="2" t="s">
        <v>1450</v>
      </c>
      <c r="AH342" s="607">
        <f t="shared" si="18"/>
        <v>2390.3703333333333</v>
      </c>
      <c r="AI342" s="2">
        <v>3500</v>
      </c>
      <c r="AJ342" s="156" t="s">
        <v>1451</v>
      </c>
      <c r="AK342" s="514"/>
      <c r="AL342" s="514"/>
      <c r="AM342" s="514"/>
      <c r="AN342" s="1312" t="s">
        <v>3686</v>
      </c>
      <c r="AO342" s="1315" t="s">
        <v>3686</v>
      </c>
      <c r="AP342" s="1315" t="s">
        <v>3686</v>
      </c>
      <c r="AQ342" s="1313" t="s">
        <v>3686</v>
      </c>
      <c r="AR342" s="1945"/>
      <c r="AS342" s="1314" t="s">
        <v>3686</v>
      </c>
      <c r="AT342" s="503"/>
      <c r="AU342" s="503"/>
      <c r="AV342" s="503"/>
      <c r="AW342" s="503"/>
      <c r="AX342" s="503"/>
      <c r="AY342" s="503"/>
      <c r="AZ342" s="503"/>
      <c r="BA342" s="503"/>
      <c r="BB342" s="503"/>
      <c r="BC342" s="503"/>
      <c r="BD342" s="503"/>
      <c r="BE342" s="503"/>
      <c r="BF342" s="503"/>
      <c r="BG342" s="503"/>
      <c r="BH342" s="503"/>
      <c r="BI342" s="33" t="s">
        <v>550</v>
      </c>
      <c r="BJ342" s="12"/>
    </row>
    <row r="343" spans="1:62"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2527</v>
      </c>
      <c r="O343" s="467" t="s">
        <v>3493</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3204</v>
      </c>
      <c r="Z343" s="146" t="str">
        <f>OBRA!X341</f>
        <v xml:space="preserve">GRUPO DESARROLLADOR INMOBILIARIO CEMERAMA S.A. DE C.V. </v>
      </c>
      <c r="AA343" s="146"/>
      <c r="AB343" s="148" t="str">
        <f>Z343</f>
        <v xml:space="preserve">GRUPO DESARROLLADOR INMOBILIARIO CEMERAMA S.A. DE C.V. </v>
      </c>
      <c r="AC343" s="146" t="s">
        <v>1834</v>
      </c>
      <c r="AD343" s="146" t="s">
        <v>3044</v>
      </c>
      <c r="AE343" s="184" t="str">
        <f>OBRA!Y341</f>
        <v>LIC. SALVADOR CONTRERAS OLGUÍN</v>
      </c>
      <c r="AF343" s="19">
        <v>1</v>
      </c>
      <c r="AG343" s="2" t="s">
        <v>1573</v>
      </c>
      <c r="AH343" s="607">
        <f t="shared" si="18"/>
        <v>86911</v>
      </c>
      <c r="AI343" s="2">
        <v>7800</v>
      </c>
      <c r="AJ343" s="156" t="s">
        <v>1451</v>
      </c>
      <c r="AK343" s="514"/>
      <c r="AL343" s="514"/>
      <c r="AM343" s="514"/>
      <c r="AN343" s="1312" t="s">
        <v>3687</v>
      </c>
      <c r="AO343" s="1315" t="s">
        <v>3687</v>
      </c>
      <c r="AP343" s="1315" t="s">
        <v>3687</v>
      </c>
      <c r="AQ343" s="1313" t="s">
        <v>3687</v>
      </c>
      <c r="AR343" s="1945"/>
      <c r="AS343" s="1314" t="s">
        <v>3687</v>
      </c>
      <c r="AT343" s="503"/>
      <c r="AU343" s="503"/>
      <c r="AV343" s="503"/>
      <c r="AW343" s="503"/>
      <c r="AX343" s="503"/>
      <c r="AY343" s="503"/>
      <c r="AZ343" s="503"/>
      <c r="BA343" s="503"/>
      <c r="BB343" s="503"/>
      <c r="BC343" s="503"/>
      <c r="BD343" s="503"/>
      <c r="BE343" s="503"/>
      <c r="BF343" s="503"/>
      <c r="BG343" s="503"/>
      <c r="BH343" s="503"/>
      <c r="BI343" s="33" t="s">
        <v>550</v>
      </c>
      <c r="BJ343" s="12"/>
    </row>
    <row r="344" spans="1:62"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2541</v>
      </c>
      <c r="O344" s="467" t="s">
        <v>3493</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3205</v>
      </c>
      <c r="Z344" s="146" t="str">
        <f>OBRA!X342</f>
        <v>BRAILOGA CONSTRUCTORES S.A. DE C.V.</v>
      </c>
      <c r="AA344" s="146"/>
      <c r="AB344" s="148" t="s">
        <v>2084</v>
      </c>
      <c r="AC344" s="146" t="s">
        <v>2085</v>
      </c>
      <c r="AD344" s="146" t="s">
        <v>3049</v>
      </c>
      <c r="AE344" s="184" t="str">
        <f>OBRA!Y342</f>
        <v>ARQ. CESAR ANTONIO ALONSO JIMENEZ</v>
      </c>
      <c r="AF344" s="19">
        <v>432.58</v>
      </c>
      <c r="AG344" s="2" t="s">
        <v>1450</v>
      </c>
      <c r="AH344" s="607">
        <f t="shared" si="18"/>
        <v>1082.1836192149428</v>
      </c>
      <c r="AI344" s="2">
        <v>3500</v>
      </c>
      <c r="AJ344" s="156" t="s">
        <v>1451</v>
      </c>
      <c r="AK344" s="514"/>
      <c r="AL344" s="514"/>
      <c r="AM344" s="514"/>
      <c r="AN344" s="1312" t="s">
        <v>3688</v>
      </c>
      <c r="AO344" s="1315" t="s">
        <v>3688</v>
      </c>
      <c r="AP344" s="1315" t="s">
        <v>3688</v>
      </c>
      <c r="AQ344" s="1313" t="s">
        <v>3688</v>
      </c>
      <c r="AR344" s="1945"/>
      <c r="AS344" s="1314" t="s">
        <v>3688</v>
      </c>
      <c r="AT344" s="503"/>
      <c r="AU344" s="503"/>
      <c r="AV344" s="503"/>
      <c r="AW344" s="503"/>
      <c r="AX344" s="503"/>
      <c r="AY344" s="503"/>
      <c r="AZ344" s="503"/>
      <c r="BA344" s="503"/>
      <c r="BB344" s="503"/>
      <c r="BC344" s="503"/>
      <c r="BD344" s="503"/>
      <c r="BE344" s="503"/>
      <c r="BF344" s="503"/>
      <c r="BG344" s="503"/>
      <c r="BH344" s="503"/>
      <c r="BI344" s="33" t="s">
        <v>550</v>
      </c>
      <c r="BJ344" s="12"/>
    </row>
    <row r="345" spans="1:62"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2541</v>
      </c>
      <c r="O345" s="467" t="s">
        <v>3493</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2962</v>
      </c>
      <c r="AD345" s="146" t="s">
        <v>2962</v>
      </c>
      <c r="AE345" s="184" t="str">
        <f>OBRA!Y343</f>
        <v>ARQ. CESAR ANTONIO ALONSO JIMENEZ</v>
      </c>
      <c r="AF345" s="555">
        <v>212</v>
      </c>
      <c r="AG345" s="2" t="s">
        <v>1450</v>
      </c>
      <c r="AH345" s="607">
        <f t="shared" si="18"/>
        <v>3025.2401886792454</v>
      </c>
      <c r="AI345" s="2">
        <v>3500</v>
      </c>
      <c r="AJ345" s="156" t="s">
        <v>1451</v>
      </c>
      <c r="AK345" s="514"/>
      <c r="AL345" s="514"/>
      <c r="AM345" s="514"/>
      <c r="AN345" s="1312" t="s">
        <v>3689</v>
      </c>
      <c r="AO345" s="1315" t="s">
        <v>3689</v>
      </c>
      <c r="AP345" s="1315" t="s">
        <v>3689</v>
      </c>
      <c r="AQ345" s="1313" t="s">
        <v>3689</v>
      </c>
      <c r="AR345" s="1945"/>
      <c r="AS345" s="1314" t="s">
        <v>3689</v>
      </c>
      <c r="AT345" s="503"/>
      <c r="AU345" s="503"/>
      <c r="AV345" s="503"/>
      <c r="AW345" s="503"/>
      <c r="AX345" s="503"/>
      <c r="AY345" s="503"/>
      <c r="AZ345" s="503"/>
      <c r="BA345" s="503"/>
      <c r="BB345" s="503"/>
      <c r="BC345" s="503"/>
      <c r="BD345" s="503"/>
      <c r="BE345" s="503"/>
      <c r="BF345" s="503"/>
      <c r="BG345" s="503"/>
      <c r="BH345" s="503"/>
      <c r="BI345" s="33" t="s">
        <v>550</v>
      </c>
      <c r="BJ345" s="12"/>
    </row>
    <row r="346" spans="1:62"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2515</v>
      </c>
      <c r="O346" s="467" t="s">
        <v>3493</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3206</v>
      </c>
      <c r="Z346" s="146" t="str">
        <f>OBRA!X344</f>
        <v>C. NORMA GORETY DOMINGUEZ CALVARIO</v>
      </c>
      <c r="AA346" s="146"/>
      <c r="AB346" s="148" t="str">
        <f t="shared" si="21"/>
        <v>C. NORMA GORETY DOMINGUEZ CALVARIO</v>
      </c>
      <c r="AC346" s="2" t="s">
        <v>2962</v>
      </c>
      <c r="AD346" s="146" t="s">
        <v>2962</v>
      </c>
      <c r="AE346" s="184" t="str">
        <f>OBRA!Y344</f>
        <v>ING. JUAN MANUEL GARCIA ESCOTO</v>
      </c>
      <c r="AF346" s="555">
        <v>255</v>
      </c>
      <c r="AG346" s="2" t="s">
        <v>1450</v>
      </c>
      <c r="AH346" s="607">
        <f t="shared" si="18"/>
        <v>1616.9880784313727</v>
      </c>
      <c r="AI346" s="2">
        <v>200</v>
      </c>
      <c r="AJ346" s="156" t="s">
        <v>1443</v>
      </c>
      <c r="AK346" s="514"/>
      <c r="AL346" s="514"/>
      <c r="AM346" s="514"/>
      <c r="AN346" s="1312" t="s">
        <v>3690</v>
      </c>
      <c r="AO346" s="1315" t="s">
        <v>3690</v>
      </c>
      <c r="AP346" s="532"/>
      <c r="AQ346" s="1313" t="s">
        <v>3690</v>
      </c>
      <c r="AR346" s="1945"/>
      <c r="AS346" s="1314" t="s">
        <v>3690</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2527</v>
      </c>
      <c r="O347" s="467" t="s">
        <v>3493</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3207</v>
      </c>
      <c r="Z347" s="33" t="str">
        <f>OBRA!X345</f>
        <v>ING. SERGIO CABRERA</v>
      </c>
      <c r="AA347" s="1746"/>
      <c r="AB347" s="148" t="str">
        <f t="shared" si="21"/>
        <v>ING. SERGIO CABRERA</v>
      </c>
      <c r="AC347" s="2" t="s">
        <v>2962</v>
      </c>
      <c r="AD347" s="146" t="s">
        <v>2962</v>
      </c>
      <c r="AE347" s="184" t="str">
        <f>OBRA!Y345</f>
        <v>ING. JUAN MANUEL GARCIA ESCOTO</v>
      </c>
      <c r="AF347" s="555">
        <v>125</v>
      </c>
      <c r="AG347" s="2" t="s">
        <v>1450</v>
      </c>
      <c r="AH347" s="1318">
        <f t="shared" si="18"/>
        <v>0</v>
      </c>
      <c r="AI347" s="2">
        <v>500</v>
      </c>
      <c r="AJ347" s="156" t="s">
        <v>1451</v>
      </c>
      <c r="AK347" s="529"/>
      <c r="AL347" s="529"/>
      <c r="AM347" s="529"/>
      <c r="AN347" s="1312" t="s">
        <v>3691</v>
      </c>
      <c r="AO347" s="532"/>
      <c r="AP347" s="532"/>
      <c r="AQ347" s="1313" t="s">
        <v>3691</v>
      </c>
      <c r="AR347" s="1945"/>
      <c r="AS347" s="1314" t="s">
        <v>3691</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4748</v>
      </c>
      <c r="M348" s="3" t="s">
        <v>6302</v>
      </c>
      <c r="N348" s="3" t="s">
        <v>2527</v>
      </c>
      <c r="O348" s="532" t="s">
        <v>4176</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542"/>
      <c r="AM348" s="1543"/>
      <c r="AN348" s="565"/>
      <c r="AO348" s="532"/>
      <c r="AP348" s="532"/>
      <c r="AQ348" s="891"/>
      <c r="AR348" s="1534"/>
      <c r="AS348" s="887"/>
      <c r="AT348" s="1849"/>
      <c r="AU348" s="1849"/>
      <c r="AV348" s="1849"/>
      <c r="AW348" s="1849"/>
      <c r="AX348" s="1849"/>
      <c r="AY348" s="1849"/>
      <c r="AZ348" s="1849"/>
      <c r="BA348" s="1849"/>
      <c r="BB348" s="1718"/>
      <c r="BC348" s="1718"/>
      <c r="BD348" s="1718"/>
      <c r="BE348" s="1718"/>
      <c r="BF348" s="1718"/>
      <c r="BG348" s="1718"/>
      <c r="BH348" s="1718"/>
      <c r="BI348" s="33"/>
      <c r="BJ348" s="12"/>
    </row>
    <row r="349" spans="1:62"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4748</v>
      </c>
      <c r="M349" s="3" t="s">
        <v>6302</v>
      </c>
      <c r="N349" s="3" t="s">
        <v>2527</v>
      </c>
      <c r="O349" s="532" t="s">
        <v>4187</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1542"/>
      <c r="AM349" s="1543"/>
      <c r="AN349" s="565"/>
      <c r="AO349" s="532"/>
      <c r="AP349" s="532"/>
      <c r="AQ349" s="891"/>
      <c r="AR349" s="1534"/>
      <c r="AS349" s="887"/>
      <c r="AT349" s="1849"/>
      <c r="AU349" s="1849"/>
      <c r="AV349" s="1849"/>
      <c r="AW349" s="1849"/>
      <c r="AX349" s="1849"/>
      <c r="AY349" s="1849"/>
      <c r="AZ349" s="1849"/>
      <c r="BA349" s="1849"/>
      <c r="BB349" s="1718"/>
      <c r="BC349" s="1718"/>
      <c r="BD349" s="1718"/>
      <c r="BE349" s="1718"/>
      <c r="BF349" s="1718"/>
      <c r="BG349" s="1718"/>
      <c r="BH349" s="1718"/>
      <c r="BI349" s="33"/>
      <c r="BJ349" s="12"/>
    </row>
    <row r="350" spans="1:62"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6246</v>
      </c>
      <c r="M350" s="125" t="s">
        <v>6301</v>
      </c>
      <c r="N350" s="125" t="s">
        <v>2541</v>
      </c>
      <c r="O350" s="817" t="s">
        <v>4188</v>
      </c>
      <c r="P350" s="86">
        <f>OBRA!S348</f>
        <v>301076.28999999998</v>
      </c>
      <c r="Q350" s="86">
        <f t="shared" si="19"/>
        <v>259548.52586206896</v>
      </c>
      <c r="R350" s="86"/>
      <c r="S350" s="87">
        <f>OBRA!T348</f>
        <v>43449</v>
      </c>
      <c r="T350" s="1438" t="str">
        <f>OBRA!W348</f>
        <v>-</v>
      </c>
      <c r="U350" s="88">
        <f>OBRA!U348</f>
        <v>43449</v>
      </c>
      <c r="V350" s="89">
        <f>OBRA!V348</f>
        <v>43465</v>
      </c>
      <c r="W350" s="1876">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40">
        <f t="shared" si="18"/>
        <v>4366.347285714286</v>
      </c>
      <c r="AI350" s="85">
        <v>100</v>
      </c>
      <c r="AJ350" s="515" t="s">
        <v>1443</v>
      </c>
      <c r="AK350" s="515"/>
      <c r="AL350" s="1544"/>
      <c r="AM350" s="1545"/>
      <c r="AN350" s="821"/>
      <c r="AO350" s="817"/>
      <c r="AP350" s="817"/>
      <c r="AQ350" s="828"/>
      <c r="AR350" s="1948"/>
      <c r="AS350" s="1172"/>
      <c r="AT350" s="1877"/>
      <c r="AU350" s="1877"/>
      <c r="AV350" s="1877"/>
      <c r="AW350" s="1877"/>
      <c r="AX350" s="1877"/>
      <c r="AY350" s="1877"/>
      <c r="AZ350" s="1877"/>
      <c r="BA350" s="1877"/>
      <c r="BB350" s="1827"/>
      <c r="BC350" s="1827"/>
      <c r="BD350" s="1827"/>
      <c r="BE350" s="1827"/>
      <c r="BF350" s="1827"/>
      <c r="BG350" s="1827"/>
      <c r="BH350" s="1827"/>
      <c r="BI350" s="90"/>
      <c r="BJ350" s="103"/>
    </row>
    <row r="351" spans="1:62"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6245</v>
      </c>
      <c r="M351" s="3" t="s">
        <v>6301</v>
      </c>
      <c r="N351" s="3" t="s">
        <v>2541</v>
      </c>
      <c r="O351" s="505" t="s">
        <v>4189</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1542"/>
      <c r="AM351" s="1543"/>
      <c r="AN351" s="565"/>
      <c r="AO351" s="532"/>
      <c r="AP351" s="532"/>
      <c r="AQ351" s="891"/>
      <c r="AR351" s="1534"/>
      <c r="AS351" s="887"/>
      <c r="AT351" s="1849"/>
      <c r="AU351" s="1849"/>
      <c r="AV351" s="1849"/>
      <c r="AW351" s="1849"/>
      <c r="AX351" s="1849"/>
      <c r="AY351" s="1849"/>
      <c r="AZ351" s="1849"/>
      <c r="BA351" s="1849"/>
      <c r="BB351" s="1718"/>
      <c r="BC351" s="1718"/>
      <c r="BD351" s="1718"/>
      <c r="BE351" s="1718"/>
      <c r="BF351" s="1718"/>
      <c r="BG351" s="1718"/>
      <c r="BH351" s="1718"/>
      <c r="BI351" s="33"/>
      <c r="BJ351" s="12"/>
    </row>
    <row r="352" spans="1:62" ht="69.75" hidden="1" customHeight="1">
      <c r="A352" s="16">
        <f>OBRA!K350</f>
        <v>2019</v>
      </c>
      <c r="B352" s="781" t="s">
        <v>2094</v>
      </c>
      <c r="C352" s="781">
        <v>190.1</v>
      </c>
      <c r="D352" s="781"/>
      <c r="E352" s="2" t="str">
        <f>OBRA!N350</f>
        <v>C.E.A.</v>
      </c>
      <c r="F352" s="597" t="s">
        <v>3708</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2580</v>
      </c>
      <c r="O352" s="496" t="s">
        <v>3494</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1542"/>
      <c r="AM352" s="1543"/>
      <c r="AN352" s="1349" t="s">
        <v>3494</v>
      </c>
      <c r="AO352" s="988" t="s">
        <v>67</v>
      </c>
      <c r="AP352" s="988" t="s">
        <v>67</v>
      </c>
      <c r="AQ352" s="989" t="s">
        <v>67</v>
      </c>
      <c r="AR352" s="989"/>
      <c r="AS352" s="990" t="s">
        <v>67</v>
      </c>
      <c r="AT352" s="991"/>
      <c r="AU352" s="991"/>
      <c r="AV352" s="991"/>
      <c r="AW352" s="991"/>
      <c r="AX352" s="991"/>
      <c r="AY352" s="991"/>
      <c r="AZ352" s="991"/>
      <c r="BA352" s="991"/>
      <c r="BB352" s="991"/>
      <c r="BC352" s="991"/>
      <c r="BD352" s="991"/>
      <c r="BE352" s="991"/>
      <c r="BF352" s="991"/>
      <c r="BG352" s="991"/>
      <c r="BH352" s="991"/>
      <c r="BI352" s="33" t="s">
        <v>550</v>
      </c>
      <c r="BJ352" s="12"/>
    </row>
    <row r="353" spans="1:63" ht="53.25" hidden="1" customHeight="1">
      <c r="A353" s="16">
        <f>OBRA!K351</f>
        <v>2019</v>
      </c>
      <c r="B353" s="781" t="s">
        <v>2094</v>
      </c>
      <c r="C353" s="781">
        <v>190.2</v>
      </c>
      <c r="D353" s="781"/>
      <c r="E353" s="2" t="str">
        <f>OBRA!N351</f>
        <v>P.I.D.</v>
      </c>
      <c r="F353" s="597" t="s">
        <v>3708</v>
      </c>
      <c r="G353" s="38" t="s">
        <v>2209</v>
      </c>
      <c r="H353" s="413" t="str">
        <f>OBRA!O351</f>
        <v>CONVENIO JOCOTEPEC PID 2019</v>
      </c>
      <c r="I353" s="2" t="str">
        <f>OBRA!P351</f>
        <v>CONVENIO</v>
      </c>
      <c r="J353" s="3" t="str">
        <f>OBRA!Q351</f>
        <v>ESTABLECIMIENTO DE DOS PUNTOS INOCUOS DE DESEMBARQUE (PID)"</v>
      </c>
      <c r="K353" s="3" t="s">
        <v>2870</v>
      </c>
      <c r="L353" s="3"/>
      <c r="M353" s="3" t="s">
        <v>2002</v>
      </c>
      <c r="N353" s="3" t="s">
        <v>1975</v>
      </c>
      <c r="O353" s="496" t="s">
        <v>3494</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1542"/>
      <c r="AM353" s="1543"/>
      <c r="AN353" s="1349" t="s">
        <v>3494</v>
      </c>
      <c r="AO353" s="988" t="s">
        <v>67</v>
      </c>
      <c r="AP353" s="988" t="s">
        <v>67</v>
      </c>
      <c r="AQ353" s="989" t="s">
        <v>67</v>
      </c>
      <c r="AR353" s="989"/>
      <c r="AS353" s="990" t="s">
        <v>67</v>
      </c>
      <c r="AT353" s="991"/>
      <c r="AU353" s="991"/>
      <c r="AV353" s="991"/>
      <c r="AW353" s="991"/>
      <c r="AX353" s="991"/>
      <c r="AY353" s="991"/>
      <c r="AZ353" s="991"/>
      <c r="BA353" s="991"/>
      <c r="BB353" s="991"/>
      <c r="BC353" s="991"/>
      <c r="BD353" s="991"/>
      <c r="BE353" s="991"/>
      <c r="BF353" s="991"/>
      <c r="BG353" s="991"/>
      <c r="BH353" s="991"/>
      <c r="BI353" s="33" t="s">
        <v>550</v>
      </c>
      <c r="BJ353" s="12"/>
    </row>
    <row r="354" spans="1:63" ht="97.5" hidden="1" customHeight="1">
      <c r="A354" s="16">
        <f>OBRA!K352</f>
        <v>2019</v>
      </c>
      <c r="B354" s="781" t="s">
        <v>2094</v>
      </c>
      <c r="C354" s="781">
        <v>190.3</v>
      </c>
      <c r="D354" s="781"/>
      <c r="E354" s="2" t="str">
        <f>OBRA!N352</f>
        <v>RASTRO DIGNO / CTA-CTE</v>
      </c>
      <c r="F354" s="597" t="s">
        <v>3708</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2666</v>
      </c>
      <c r="O354" s="496" t="s">
        <v>3494</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1542"/>
      <c r="AM354" s="1543"/>
      <c r="AN354" s="1349" t="s">
        <v>3494</v>
      </c>
      <c r="AO354" s="988" t="s">
        <v>67</v>
      </c>
      <c r="AP354" s="988" t="s">
        <v>67</v>
      </c>
      <c r="AQ354" s="989" t="s">
        <v>67</v>
      </c>
      <c r="AR354" s="989"/>
      <c r="AS354" s="990" t="s">
        <v>67</v>
      </c>
      <c r="AT354" s="991"/>
      <c r="AU354" s="991"/>
      <c r="AV354" s="991"/>
      <c r="AW354" s="991"/>
      <c r="AX354" s="991"/>
      <c r="AY354" s="991"/>
      <c r="AZ354" s="991"/>
      <c r="BA354" s="991"/>
      <c r="BB354" s="991"/>
      <c r="BC354" s="991"/>
      <c r="BD354" s="991"/>
      <c r="BE354" s="991"/>
      <c r="BF354" s="991"/>
      <c r="BG354" s="991"/>
      <c r="BH354" s="991"/>
      <c r="BI354" s="33" t="s">
        <v>550</v>
      </c>
      <c r="BJ354" s="12"/>
    </row>
    <row r="355" spans="1:63"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6242</v>
      </c>
      <c r="M355" s="3" t="s">
        <v>2108</v>
      </c>
      <c r="N355" s="3" t="s">
        <v>1975</v>
      </c>
      <c r="O355" s="467" t="s">
        <v>3846</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2752</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1542"/>
      <c r="AM355" s="1543"/>
      <c r="AN355" s="1247" t="s">
        <v>3846</v>
      </c>
      <c r="AO355" s="1310" t="s">
        <v>3846</v>
      </c>
      <c r="AP355" s="1310" t="s">
        <v>3846</v>
      </c>
      <c r="AQ355" s="1285" t="s">
        <v>3846</v>
      </c>
      <c r="AR355" s="1263"/>
      <c r="AS355" s="1321" t="s">
        <v>3846</v>
      </c>
      <c r="AT355" s="1849"/>
      <c r="AU355" s="1849"/>
      <c r="AV355" s="1849"/>
      <c r="AW355" s="1849"/>
      <c r="AX355" s="1849"/>
      <c r="AY355" s="1849"/>
      <c r="AZ355" s="1849"/>
      <c r="BA355" s="1849"/>
      <c r="BB355" s="1718"/>
      <c r="BC355" s="1718"/>
      <c r="BD355" s="1718"/>
      <c r="BE355" s="1718"/>
      <c r="BF355" s="1718"/>
      <c r="BG355" s="1718"/>
      <c r="BH355" s="1718"/>
      <c r="BI355" s="33"/>
      <c r="BJ355" s="12"/>
    </row>
    <row r="356" spans="1:63"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1544"/>
      <c r="AM356" s="1545"/>
      <c r="AN356" s="565"/>
      <c r="AO356" s="821" t="s">
        <v>67</v>
      </c>
      <c r="AP356" s="821" t="s">
        <v>67</v>
      </c>
      <c r="AQ356" s="515" t="s">
        <v>67</v>
      </c>
      <c r="AR356" s="515"/>
      <c r="AS356" s="83" t="s">
        <v>67</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1544"/>
      <c r="AM357" s="1545"/>
      <c r="AN357" s="565"/>
      <c r="AO357" s="821" t="s">
        <v>67</v>
      </c>
      <c r="AP357" s="821" t="s">
        <v>67</v>
      </c>
      <c r="AQ357" s="515" t="s">
        <v>67</v>
      </c>
      <c r="AR357" s="515"/>
      <c r="AS357" s="83" t="s">
        <v>67</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4751</v>
      </c>
      <c r="M358" s="3" t="s">
        <v>6319</v>
      </c>
      <c r="N358" s="3" t="s">
        <v>2527</v>
      </c>
      <c r="O358" s="467" t="s">
        <v>3847</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1542"/>
      <c r="AM358" s="1543"/>
      <c r="AN358" s="1264" t="s">
        <v>3847</v>
      </c>
      <c r="AO358" s="1315" t="s">
        <v>3847</v>
      </c>
      <c r="AP358" s="1315" t="s">
        <v>3847</v>
      </c>
      <c r="AQ358" s="1313" t="s">
        <v>3847</v>
      </c>
      <c r="AR358" s="1945"/>
      <c r="AS358" s="1321" t="s">
        <v>3847</v>
      </c>
      <c r="AT358" s="1849"/>
      <c r="AU358" s="1849"/>
      <c r="AV358" s="1849"/>
      <c r="AW358" s="1849"/>
      <c r="AX358" s="1849"/>
      <c r="AY358" s="1849"/>
      <c r="AZ358" s="1849"/>
      <c r="BA358" s="1849"/>
      <c r="BB358" s="1718"/>
      <c r="BC358" s="1718"/>
      <c r="BD358" s="1718"/>
      <c r="BE358" s="1718"/>
      <c r="BF358" s="1718"/>
      <c r="BG358" s="1718"/>
      <c r="BH358" s="1718"/>
      <c r="BI358" s="33"/>
      <c r="BJ358" s="12"/>
      <c r="BK358" s="536">
        <f>X358+X359+X360</f>
        <v>63502.530000000006</v>
      </c>
    </row>
    <row r="359" spans="1:63"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6243</v>
      </c>
      <c r="M359" s="3" t="s">
        <v>2113</v>
      </c>
      <c r="N359" s="3" t="s">
        <v>2527</v>
      </c>
      <c r="O359" s="467" t="s">
        <v>3848</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1542"/>
      <c r="AM359" s="1543"/>
      <c r="AN359" s="1264" t="s">
        <v>3848</v>
      </c>
      <c r="AO359" s="1315" t="s">
        <v>3848</v>
      </c>
      <c r="AP359" s="1315" t="s">
        <v>3848</v>
      </c>
      <c r="AQ359" s="1313" t="s">
        <v>3848</v>
      </c>
      <c r="AR359" s="1945"/>
      <c r="AS359" s="512"/>
      <c r="AT359" s="1849"/>
      <c r="AU359" s="1849"/>
      <c r="AV359" s="1849"/>
      <c r="AW359" s="1849"/>
      <c r="AX359" s="1849"/>
      <c r="AY359" s="1849"/>
      <c r="AZ359" s="1849"/>
      <c r="BA359" s="1849"/>
      <c r="BB359" s="1718"/>
      <c r="BC359" s="1718"/>
      <c r="BD359" s="1718"/>
      <c r="BE359" s="1718"/>
      <c r="BF359" s="1718"/>
      <c r="BG359" s="1718"/>
      <c r="BH359" s="1718"/>
      <c r="BI359" s="33"/>
      <c r="BJ359" s="12"/>
    </row>
    <row r="360" spans="1:63"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6243</v>
      </c>
      <c r="M360" s="3" t="s">
        <v>2113</v>
      </c>
      <c r="N360" s="3" t="s">
        <v>2527</v>
      </c>
      <c r="O360" s="467" t="s">
        <v>3849</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1542"/>
      <c r="AM360" s="1543"/>
      <c r="AN360" s="1264" t="s">
        <v>3849</v>
      </c>
      <c r="AO360" s="1315" t="s">
        <v>3849</v>
      </c>
      <c r="AP360" s="1315" t="s">
        <v>3849</v>
      </c>
      <c r="AQ360" s="1313" t="s">
        <v>3849</v>
      </c>
      <c r="AR360" s="1945"/>
      <c r="AS360" s="1314" t="s">
        <v>3849</v>
      </c>
      <c r="AT360" s="1849"/>
      <c r="AU360" s="1849"/>
      <c r="AV360" s="1849"/>
      <c r="AW360" s="1849"/>
      <c r="AX360" s="1849"/>
      <c r="AY360" s="1849"/>
      <c r="AZ360" s="1849"/>
      <c r="BA360" s="1849"/>
      <c r="BB360" s="1718"/>
      <c r="BC360" s="1718"/>
      <c r="BD360" s="1718"/>
      <c r="BE360" s="1718"/>
      <c r="BF360" s="1718"/>
      <c r="BG360" s="1718"/>
      <c r="BH360" s="1718"/>
      <c r="BI360" s="33"/>
      <c r="BJ360" s="12"/>
    </row>
    <row r="361" spans="1:63"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6244</v>
      </c>
      <c r="M361" s="3" t="s">
        <v>2118</v>
      </c>
      <c r="N361" s="3" t="s">
        <v>3015</v>
      </c>
      <c r="O361" s="467" t="s">
        <v>3850</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2871</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1542"/>
      <c r="AM361" s="1543"/>
      <c r="AN361" s="1264" t="s">
        <v>3850</v>
      </c>
      <c r="AO361" s="1315" t="s">
        <v>3850</v>
      </c>
      <c r="AP361" s="1330"/>
      <c r="AQ361" s="1313" t="s">
        <v>3850</v>
      </c>
      <c r="AR361" s="1945"/>
      <c r="AS361" s="1321" t="s">
        <v>3850</v>
      </c>
      <c r="AT361" s="1849"/>
      <c r="AU361" s="1849"/>
      <c r="AV361" s="1849"/>
      <c r="AW361" s="1849"/>
      <c r="AX361" s="1849"/>
      <c r="AY361" s="1849"/>
      <c r="AZ361" s="1849"/>
      <c r="BA361" s="1849"/>
      <c r="BB361" s="1718"/>
      <c r="BC361" s="1718"/>
      <c r="BD361" s="1718"/>
      <c r="BE361" s="1718"/>
      <c r="BF361" s="1718"/>
      <c r="BG361" s="1718"/>
      <c r="BH361" s="1718"/>
      <c r="BI361" s="33"/>
      <c r="BJ361" s="12"/>
    </row>
    <row r="362" spans="1:63" ht="101.25" hidden="1" customHeight="1">
      <c r="A362" s="16">
        <f>OBRA!K360</f>
        <v>2019</v>
      </c>
      <c r="B362" s="781" t="s">
        <v>2094</v>
      </c>
      <c r="C362" s="781">
        <v>191.08</v>
      </c>
      <c r="D362" s="1476" t="s">
        <v>4024</v>
      </c>
      <c r="E362" s="2" t="str">
        <f>OBRA!N360</f>
        <v>CEA / CUENTA CORRIENTE</v>
      </c>
      <c r="F362" s="597" t="s">
        <v>3708</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4754</v>
      </c>
      <c r="M362" s="3" t="s">
        <v>2106</v>
      </c>
      <c r="N362" s="3" t="s">
        <v>2666</v>
      </c>
      <c r="O362" s="467" t="s">
        <v>3851</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2753</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1542"/>
      <c r="AM362" s="1543"/>
      <c r="AN362" s="1264" t="s">
        <v>3851</v>
      </c>
      <c r="AO362" s="1310" t="s">
        <v>3851</v>
      </c>
      <c r="AP362" s="532"/>
      <c r="AQ362" s="1285" t="s">
        <v>3851</v>
      </c>
      <c r="AR362" s="1263"/>
      <c r="AS362" s="512"/>
      <c r="AT362" s="1849"/>
      <c r="AU362" s="1849"/>
      <c r="AV362" s="1849"/>
      <c r="AW362" s="1849"/>
      <c r="AX362" s="1849"/>
      <c r="AY362" s="1849"/>
      <c r="AZ362" s="1849"/>
      <c r="BA362" s="1849"/>
      <c r="BB362" s="1718"/>
      <c r="BC362" s="1718"/>
      <c r="BD362" s="1718"/>
      <c r="BE362" s="1718"/>
      <c r="BF362" s="1718"/>
      <c r="BG362" s="1718"/>
      <c r="BH362" s="1718"/>
      <c r="BI362" s="33"/>
      <c r="BJ362" s="12"/>
    </row>
    <row r="363" spans="1:63"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4755</v>
      </c>
      <c r="M363" s="3" t="s">
        <v>2121</v>
      </c>
      <c r="N363" s="3" t="s">
        <v>2666</v>
      </c>
      <c r="O363" s="467" t="s">
        <v>3852</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2754</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1542"/>
      <c r="AM363" s="1543"/>
      <c r="AN363" s="1264" t="s">
        <v>3852</v>
      </c>
      <c r="AO363" s="1310" t="s">
        <v>3852</v>
      </c>
      <c r="AP363" s="1310" t="s">
        <v>3852</v>
      </c>
      <c r="AQ363" s="1285" t="s">
        <v>3852</v>
      </c>
      <c r="AR363" s="1263"/>
      <c r="AS363" s="1321" t="s">
        <v>3852</v>
      </c>
      <c r="AT363" s="1849"/>
      <c r="AU363" s="1849"/>
      <c r="AV363" s="1849"/>
      <c r="AW363" s="1849"/>
      <c r="AX363" s="1849"/>
      <c r="AY363" s="1849"/>
      <c r="AZ363" s="1849"/>
      <c r="BA363" s="1849"/>
      <c r="BB363" s="1718"/>
      <c r="BC363" s="1718"/>
      <c r="BD363" s="1718"/>
      <c r="BE363" s="1718"/>
      <c r="BF363" s="1718"/>
      <c r="BG363" s="1718"/>
      <c r="BH363" s="1718"/>
      <c r="BI363" s="33"/>
      <c r="BJ363" s="12"/>
    </row>
    <row r="364" spans="1:63"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6250</v>
      </c>
      <c r="M364" s="3" t="s">
        <v>6293</v>
      </c>
      <c r="N364" s="3" t="s">
        <v>2535</v>
      </c>
      <c r="O364" s="505" t="s">
        <v>3853</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2872</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1542"/>
      <c r="AM364" s="1543"/>
      <c r="AN364" s="1247" t="s">
        <v>3853</v>
      </c>
      <c r="AO364" s="1310" t="s">
        <v>3853</v>
      </c>
      <c r="AP364" s="1310" t="s">
        <v>3853</v>
      </c>
      <c r="AQ364" s="1285" t="s">
        <v>3853</v>
      </c>
      <c r="AR364" s="1263"/>
      <c r="AS364" s="512"/>
      <c r="AT364" s="1869">
        <v>195292.47</v>
      </c>
      <c r="AU364" s="1869"/>
      <c r="AV364" s="1869">
        <v>321553.63</v>
      </c>
      <c r="AW364" s="1869">
        <v>0</v>
      </c>
      <c r="AX364" s="1869">
        <v>0</v>
      </c>
      <c r="AY364" s="1869">
        <v>0</v>
      </c>
      <c r="AZ364" s="1869">
        <v>0</v>
      </c>
      <c r="BA364" s="1869">
        <v>0</v>
      </c>
      <c r="BB364" s="2">
        <v>316</v>
      </c>
      <c r="BC364" s="2"/>
      <c r="BD364" s="2">
        <v>351</v>
      </c>
      <c r="BE364" s="2">
        <v>0</v>
      </c>
      <c r="BF364" s="2">
        <v>0</v>
      </c>
      <c r="BG364" s="2">
        <v>0</v>
      </c>
      <c r="BH364" s="413">
        <v>0</v>
      </c>
      <c r="BI364" s="413"/>
      <c r="BJ364" s="12"/>
    </row>
    <row r="365" spans="1:63"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6245</v>
      </c>
      <c r="M365" s="3" t="s">
        <v>6305</v>
      </c>
      <c r="N365" s="3" t="s">
        <v>1975</v>
      </c>
      <c r="O365" s="467" t="s">
        <v>3854</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2755</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1542"/>
      <c r="AM365" s="1543"/>
      <c r="AN365" s="1264" t="s">
        <v>3854</v>
      </c>
      <c r="AO365" s="1310" t="s">
        <v>3854</v>
      </c>
      <c r="AP365" s="1310" t="s">
        <v>3854</v>
      </c>
      <c r="AQ365" s="1285" t="s">
        <v>3854</v>
      </c>
      <c r="AR365" s="1263"/>
      <c r="AS365" s="1321" t="s">
        <v>3854</v>
      </c>
      <c r="AT365" s="1868">
        <f>5011.2+47467.2+3377.72+8120.51+28813.04</f>
        <v>92789.67</v>
      </c>
      <c r="AU365" s="1868"/>
      <c r="AV365" s="1868"/>
      <c r="AW365" s="1868"/>
      <c r="AX365" s="1868">
        <f>38280+33872+71456+29000+43157+68324</f>
        <v>284089</v>
      </c>
      <c r="AY365" s="1868"/>
      <c r="AZ365" s="1868"/>
      <c r="BA365" s="1868"/>
      <c r="BB365" s="511"/>
      <c r="BC365" s="511"/>
      <c r="BD365" s="511"/>
      <c r="BE365" s="511"/>
      <c r="BF365" s="511"/>
      <c r="BG365" s="511"/>
      <c r="BH365" s="1454"/>
      <c r="BI365" s="413"/>
      <c r="BJ365" s="12"/>
    </row>
    <row r="366" spans="1:63"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6246</v>
      </c>
      <c r="M366" s="3" t="s">
        <v>6305</v>
      </c>
      <c r="N366" s="3" t="s">
        <v>1975</v>
      </c>
      <c r="O366" s="467" t="s">
        <v>3855</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2756</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1542"/>
      <c r="AM366" s="1543"/>
      <c r="AN366" s="1264" t="s">
        <v>3855</v>
      </c>
      <c r="AO366" s="1310" t="s">
        <v>3855</v>
      </c>
      <c r="AP366" s="1310" t="s">
        <v>3855</v>
      </c>
      <c r="AQ366" s="1285" t="s">
        <v>3855</v>
      </c>
      <c r="AR366" s="1263"/>
      <c r="AS366" s="1321" t="s">
        <v>3855</v>
      </c>
      <c r="AT366" s="1869">
        <v>0</v>
      </c>
      <c r="AU366" s="1869">
        <v>0</v>
      </c>
      <c r="AV366" s="1869">
        <f>13363.2+87278.4+62927.39+74820</f>
        <v>238388.99</v>
      </c>
      <c r="AW366" s="1869">
        <v>0</v>
      </c>
      <c r="AX366" s="1869">
        <f>50460+30160+71456+29000+43152+68324</f>
        <v>292552</v>
      </c>
      <c r="AY366" s="1869">
        <v>0</v>
      </c>
      <c r="AZ366" s="1869">
        <v>0</v>
      </c>
      <c r="BA366" s="1869">
        <v>0</v>
      </c>
      <c r="BB366" s="2">
        <v>0</v>
      </c>
      <c r="BC366" s="2">
        <v>0</v>
      </c>
      <c r="BD366" s="511"/>
      <c r="BE366" s="2">
        <v>0</v>
      </c>
      <c r="BF366" s="511"/>
      <c r="BG366" s="2">
        <v>0</v>
      </c>
      <c r="BH366" s="413">
        <v>0</v>
      </c>
      <c r="BI366" s="413"/>
      <c r="BJ366" s="12"/>
    </row>
    <row r="367" spans="1:63"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6245</v>
      </c>
      <c r="M367" s="3" t="s">
        <v>6304</v>
      </c>
      <c r="N367" s="3" t="s">
        <v>2527</v>
      </c>
      <c r="O367" s="467" t="s">
        <v>3856</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3182</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1542"/>
      <c r="AM367" s="1543"/>
      <c r="AN367" s="1264" t="s">
        <v>3856</v>
      </c>
      <c r="AO367" s="1310" t="s">
        <v>3856</v>
      </c>
      <c r="AP367" s="1310" t="s">
        <v>3856</v>
      </c>
      <c r="AQ367" s="1285" t="s">
        <v>3856</v>
      </c>
      <c r="AR367" s="1263"/>
      <c r="AS367" s="1321" t="s">
        <v>3856</v>
      </c>
      <c r="AT367" s="1868"/>
      <c r="AU367" s="1868"/>
      <c r="AV367" s="1868"/>
      <c r="AW367" s="1868"/>
      <c r="AX367" s="1868"/>
      <c r="AY367" s="1868"/>
      <c r="AZ367" s="1868"/>
      <c r="BA367" s="1868"/>
      <c r="BB367" s="511"/>
      <c r="BC367" s="511"/>
      <c r="BD367" s="511"/>
      <c r="BE367" s="511"/>
      <c r="BF367" s="511"/>
      <c r="BG367" s="511"/>
      <c r="BH367" s="1454"/>
      <c r="BI367" s="413"/>
      <c r="BJ367" s="12"/>
    </row>
    <row r="368" spans="1:63"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6246</v>
      </c>
      <c r="M368" s="3" t="s">
        <v>6304</v>
      </c>
      <c r="N368" s="3" t="s">
        <v>2527</v>
      </c>
      <c r="O368" s="467" t="s">
        <v>3857</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3183</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1542"/>
      <c r="AM368" s="1543"/>
      <c r="AN368" s="1264" t="s">
        <v>3857</v>
      </c>
      <c r="AO368" s="1310" t="s">
        <v>3857</v>
      </c>
      <c r="AP368" s="1310" t="s">
        <v>3857</v>
      </c>
      <c r="AQ368" s="1285" t="s">
        <v>3857</v>
      </c>
      <c r="AR368" s="1263"/>
      <c r="AS368" s="1321" t="s">
        <v>3857</v>
      </c>
      <c r="AT368" s="1868"/>
      <c r="AU368" s="1868"/>
      <c r="AV368" s="1868"/>
      <c r="AW368" s="1868"/>
      <c r="AX368" s="1868"/>
      <c r="AY368" s="1868"/>
      <c r="AZ368" s="1868"/>
      <c r="BA368" s="1868"/>
      <c r="BB368" s="511"/>
      <c r="BC368" s="511"/>
      <c r="BD368" s="511"/>
      <c r="BE368" s="511"/>
      <c r="BF368" s="511"/>
      <c r="BG368" s="511"/>
      <c r="BH368" s="1454"/>
      <c r="BI368" s="413"/>
      <c r="BJ368" s="12"/>
    </row>
    <row r="369" spans="1:62"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6245</v>
      </c>
      <c r="M369" s="3" t="s">
        <v>6304</v>
      </c>
      <c r="N369" s="3" t="s">
        <v>2527</v>
      </c>
      <c r="O369" s="505" t="s">
        <v>3858</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2874</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1542"/>
      <c r="AM369" s="1543"/>
      <c r="AN369" s="1264" t="s">
        <v>3858</v>
      </c>
      <c r="AO369" s="1310" t="s">
        <v>3858</v>
      </c>
      <c r="AP369" s="1310" t="s">
        <v>3858</v>
      </c>
      <c r="AQ369" s="1313" t="s">
        <v>3858</v>
      </c>
      <c r="AR369" s="1945"/>
      <c r="AS369" s="1321" t="s">
        <v>3858</v>
      </c>
      <c r="AT369" s="1868"/>
      <c r="AU369" s="1868"/>
      <c r="AV369" s="1868"/>
      <c r="AW369" s="1868"/>
      <c r="AX369" s="1868"/>
      <c r="AY369" s="1868"/>
      <c r="AZ369" s="1868"/>
      <c r="BA369" s="1868"/>
      <c r="BB369" s="511"/>
      <c r="BC369" s="511"/>
      <c r="BD369" s="511"/>
      <c r="BE369" s="511"/>
      <c r="BF369" s="511"/>
      <c r="BG369" s="511"/>
      <c r="BH369" s="1454"/>
      <c r="BI369" s="413"/>
      <c r="BJ369" s="12"/>
    </row>
    <row r="370" spans="1:62"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1544"/>
      <c r="AM370" s="1545"/>
      <c r="AN370" s="565"/>
      <c r="AO370" s="821" t="s">
        <v>67</v>
      </c>
      <c r="AP370" s="821" t="s">
        <v>67</v>
      </c>
      <c r="AQ370" s="515" t="s">
        <v>67</v>
      </c>
      <c r="AR370" s="515"/>
      <c r="AS370" s="83" t="s">
        <v>67</v>
      </c>
      <c r="AT370" s="1861"/>
      <c r="AU370" s="1861"/>
      <c r="AV370" s="1861"/>
      <c r="AW370" s="1861"/>
      <c r="AX370" s="1861"/>
      <c r="AY370" s="1861"/>
      <c r="AZ370" s="1861"/>
      <c r="BA370" s="1861"/>
      <c r="BB370" s="1861"/>
      <c r="BC370" s="1861"/>
      <c r="BD370" s="1861"/>
      <c r="BE370" s="1861"/>
      <c r="BF370" s="1861"/>
      <c r="BG370" s="1861"/>
      <c r="BH370" s="1861"/>
      <c r="BI370" s="90"/>
      <c r="BJ370" s="103"/>
    </row>
    <row r="371" spans="1:62"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6247</v>
      </c>
      <c r="M371" s="3" t="s">
        <v>2126</v>
      </c>
      <c r="N371" s="26" t="s">
        <v>2527</v>
      </c>
      <c r="O371" s="1465" t="s">
        <v>3777</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2757</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1542"/>
      <c r="AM371" s="1543"/>
      <c r="AN371" s="1247" t="s">
        <v>3777</v>
      </c>
      <c r="AO371" s="1347" t="s">
        <v>3777</v>
      </c>
      <c r="AP371" s="1310" t="s">
        <v>3777</v>
      </c>
      <c r="AQ371" s="1285" t="s">
        <v>3777</v>
      </c>
      <c r="AR371" s="1263"/>
      <c r="AS371" s="1321" t="s">
        <v>3777</v>
      </c>
      <c r="AT371" s="1849"/>
      <c r="AU371" s="1849"/>
      <c r="AV371" s="1849"/>
      <c r="AW371" s="1849"/>
      <c r="AX371" s="1849"/>
      <c r="AY371" s="1849"/>
      <c r="AZ371" s="1849"/>
      <c r="BA371" s="1849"/>
      <c r="BB371" s="1718"/>
      <c r="BC371" s="1718"/>
      <c r="BD371" s="1718"/>
      <c r="BE371" s="1718"/>
      <c r="BF371" s="1718"/>
      <c r="BG371" s="1718"/>
      <c r="BH371" s="1718"/>
      <c r="BI371" s="33"/>
      <c r="BJ371" s="12"/>
    </row>
    <row r="372" spans="1:62"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4748</v>
      </c>
      <c r="M372" s="3" t="s">
        <v>6294</v>
      </c>
      <c r="N372" s="3" t="s">
        <v>1975</v>
      </c>
      <c r="O372" s="505" t="s">
        <v>3859</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2758</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1542"/>
      <c r="AM372" s="1543"/>
      <c r="AN372" s="1264" t="s">
        <v>3859</v>
      </c>
      <c r="AO372" s="1310" t="s">
        <v>3859</v>
      </c>
      <c r="AP372" s="1310" t="s">
        <v>3859</v>
      </c>
      <c r="AQ372" s="1285" t="s">
        <v>3859</v>
      </c>
      <c r="AR372" s="1263"/>
      <c r="AS372" s="1321" t="s">
        <v>3859</v>
      </c>
      <c r="AT372" s="1849"/>
      <c r="AU372" s="1849"/>
      <c r="AV372" s="1849"/>
      <c r="AW372" s="1849"/>
      <c r="AX372" s="1849"/>
      <c r="AY372" s="1849"/>
      <c r="AZ372" s="1849"/>
      <c r="BA372" s="1849"/>
      <c r="BB372" s="1718"/>
      <c r="BC372" s="1718"/>
      <c r="BD372" s="1718"/>
      <c r="BE372" s="1718"/>
      <c r="BF372" s="1718"/>
      <c r="BG372" s="1718"/>
      <c r="BH372" s="1718"/>
      <c r="BI372" s="33"/>
      <c r="BJ372" s="12"/>
    </row>
    <row r="373" spans="1:62"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1544"/>
      <c r="AM373" s="1545"/>
      <c r="AN373" s="565"/>
      <c r="AO373" s="821" t="s">
        <v>67</v>
      </c>
      <c r="AP373" s="821" t="s">
        <v>67</v>
      </c>
      <c r="AQ373" s="85" t="s">
        <v>67</v>
      </c>
      <c r="AR373" s="562"/>
      <c r="AS373" s="83" t="s">
        <v>67</v>
      </c>
      <c r="AT373" s="1008"/>
      <c r="AU373" s="1008"/>
      <c r="AV373" s="1008"/>
      <c r="AW373" s="1008"/>
      <c r="AX373" s="1008"/>
      <c r="AY373" s="1008"/>
      <c r="AZ373" s="1008"/>
      <c r="BA373" s="1008"/>
      <c r="BB373" s="1008"/>
      <c r="BC373" s="1008"/>
      <c r="BD373" s="1008"/>
      <c r="BE373" s="1008"/>
      <c r="BF373" s="1008"/>
      <c r="BG373" s="1008"/>
      <c r="BH373" s="1008"/>
      <c r="BI373" s="90"/>
      <c r="BJ373" s="103"/>
    </row>
    <row r="374" spans="1:62"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4748</v>
      </c>
      <c r="M374" s="173" t="s">
        <v>6295</v>
      </c>
      <c r="N374" s="3" t="s">
        <v>1975</v>
      </c>
      <c r="O374" s="1466" t="s">
        <v>3860</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2875</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1542"/>
      <c r="AM374" s="1543"/>
      <c r="AN374" s="1247" t="s">
        <v>3860</v>
      </c>
      <c r="AO374" s="532"/>
      <c r="AP374" s="532"/>
      <c r="AQ374" s="1285" t="s">
        <v>3860</v>
      </c>
      <c r="AR374" s="1263"/>
      <c r="AS374" s="512"/>
      <c r="AT374" s="1849"/>
      <c r="AU374" s="1849"/>
      <c r="AV374" s="1849"/>
      <c r="AW374" s="1849"/>
      <c r="AX374" s="1849"/>
      <c r="AY374" s="1849"/>
      <c r="AZ374" s="1849"/>
      <c r="BA374" s="1849"/>
      <c r="BB374" s="1718"/>
      <c r="BC374" s="1718"/>
      <c r="BD374" s="1718"/>
      <c r="BE374" s="1718"/>
      <c r="BF374" s="1718"/>
      <c r="BG374" s="1718"/>
      <c r="BH374" s="1718"/>
      <c r="BI374" s="33"/>
      <c r="BJ374" s="12"/>
    </row>
    <row r="375" spans="1:62"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1544"/>
      <c r="AM375" s="1545"/>
      <c r="AN375" s="565"/>
      <c r="AO375" s="821" t="s">
        <v>67</v>
      </c>
      <c r="AP375" s="821" t="s">
        <v>67</v>
      </c>
      <c r="AQ375" s="85" t="s">
        <v>67</v>
      </c>
      <c r="AR375" s="562"/>
      <c r="AS375" s="83" t="s">
        <v>67</v>
      </c>
      <c r="AT375" s="1008"/>
      <c r="AU375" s="1008"/>
      <c r="AV375" s="1008"/>
      <c r="AW375" s="1008"/>
      <c r="AX375" s="1008"/>
      <c r="AY375" s="1008"/>
      <c r="AZ375" s="1008"/>
      <c r="BA375" s="1008"/>
      <c r="BB375" s="1008"/>
      <c r="BC375" s="1008"/>
      <c r="BD375" s="1008"/>
      <c r="BE375" s="1008"/>
      <c r="BF375" s="1008"/>
      <c r="BG375" s="1008"/>
      <c r="BH375" s="1008"/>
      <c r="BI375" s="90"/>
      <c r="BJ375" s="103"/>
    </row>
    <row r="376" spans="1:62"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4750</v>
      </c>
      <c r="M376" s="3" t="s">
        <v>6311</v>
      </c>
      <c r="N376" s="3" t="s">
        <v>2527</v>
      </c>
      <c r="O376" s="505" t="s">
        <v>3861</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2877</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1542"/>
      <c r="AM376" s="1543"/>
      <c r="AN376" s="1537" t="s">
        <v>3861</v>
      </c>
      <c r="AO376" s="1347" t="s">
        <v>3861</v>
      </c>
      <c r="AP376" s="532"/>
      <c r="AQ376" s="1285" t="s">
        <v>3861</v>
      </c>
      <c r="AR376" s="1263"/>
      <c r="AS376" s="1321" t="s">
        <v>3861</v>
      </c>
      <c r="AT376" s="1849"/>
      <c r="AU376" s="1849"/>
      <c r="AV376" s="1849"/>
      <c r="AW376" s="1849"/>
      <c r="AX376" s="1849"/>
      <c r="AY376" s="1849"/>
      <c r="AZ376" s="1849"/>
      <c r="BA376" s="1849"/>
      <c r="BB376" s="1718"/>
      <c r="BC376" s="1718"/>
      <c r="BD376" s="1718"/>
      <c r="BE376" s="1718"/>
      <c r="BF376" s="1718"/>
      <c r="BG376" s="1718"/>
      <c r="BH376" s="1718"/>
      <c r="BI376" s="33"/>
      <c r="BJ376" s="12"/>
    </row>
    <row r="377" spans="1:62"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1544"/>
      <c r="AM377" s="1545"/>
      <c r="AN377" s="821"/>
      <c r="AO377" s="821"/>
      <c r="AP377" s="821"/>
      <c r="AQ377" s="85"/>
      <c r="AR377" s="562"/>
      <c r="AS377" s="83"/>
      <c r="AT377" s="1008"/>
      <c r="AU377" s="1008"/>
      <c r="AV377" s="1008"/>
      <c r="AW377" s="1008"/>
      <c r="AX377" s="1008"/>
      <c r="AY377" s="1008"/>
      <c r="AZ377" s="1008"/>
      <c r="BA377" s="1008"/>
      <c r="BB377" s="1008"/>
      <c r="BC377" s="1008"/>
      <c r="BD377" s="1008"/>
      <c r="BE377" s="1008"/>
      <c r="BF377" s="1008"/>
      <c r="BG377" s="1008"/>
      <c r="BH377" s="1008"/>
      <c r="BI377" s="90"/>
      <c r="BJ377" s="103"/>
    </row>
    <row r="378" spans="1:62"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4751</v>
      </c>
      <c r="M378" s="3" t="s">
        <v>6320</v>
      </c>
      <c r="N378" s="3" t="s">
        <v>2541</v>
      </c>
      <c r="O378" s="1466" t="s">
        <v>3862</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2876</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1542"/>
      <c r="AM378" s="1543"/>
      <c r="AN378" s="1537" t="s">
        <v>3862</v>
      </c>
      <c r="AO378" s="1310" t="s">
        <v>3862</v>
      </c>
      <c r="AP378" s="1347" t="s">
        <v>3862</v>
      </c>
      <c r="AQ378" s="511"/>
      <c r="AR378" s="1292"/>
      <c r="AS378" s="1321" t="s">
        <v>3862</v>
      </c>
      <c r="AT378" s="1849"/>
      <c r="AU378" s="1849"/>
      <c r="AV378" s="1849"/>
      <c r="AW378" s="1849"/>
      <c r="AX378" s="1849"/>
      <c r="AY378" s="1849"/>
      <c r="AZ378" s="1849"/>
      <c r="BA378" s="1849"/>
      <c r="BB378" s="1718"/>
      <c r="BC378" s="1718"/>
      <c r="BD378" s="1718"/>
      <c r="BE378" s="1718"/>
      <c r="BF378" s="1718"/>
      <c r="BG378" s="1718"/>
      <c r="BH378" s="1718"/>
      <c r="BI378" s="33"/>
      <c r="BJ378" s="12"/>
    </row>
    <row r="379" spans="1:62"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1544"/>
      <c r="AM379" s="1545"/>
      <c r="AN379" s="821"/>
      <c r="AO379" s="821"/>
      <c r="AP379" s="821"/>
      <c r="AQ379" s="85"/>
      <c r="AR379" s="562"/>
      <c r="AS379" s="83"/>
      <c r="AT379" s="1008"/>
      <c r="AU379" s="1008"/>
      <c r="AV379" s="1008"/>
      <c r="AW379" s="1008"/>
      <c r="AX379" s="1008"/>
      <c r="AY379" s="1008"/>
      <c r="AZ379" s="1008"/>
      <c r="BA379" s="1008"/>
      <c r="BB379" s="1008"/>
      <c r="BC379" s="1008"/>
      <c r="BD379" s="1008"/>
      <c r="BE379" s="1008"/>
      <c r="BF379" s="1008"/>
      <c r="BG379" s="1008"/>
      <c r="BH379" s="1008"/>
      <c r="BI379" s="90"/>
      <c r="BJ379" s="103"/>
    </row>
    <row r="380" spans="1:62" ht="98.25" hidden="1" customHeight="1">
      <c r="A380" s="16">
        <f>OBRA!K378</f>
        <v>2019</v>
      </c>
      <c r="B380" s="781" t="s">
        <v>2094</v>
      </c>
      <c r="C380" s="781">
        <v>192.1</v>
      </c>
      <c r="D380" s="781"/>
      <c r="E380" s="2" t="str">
        <f>OBRA!N378</f>
        <v>RASTRO DIGNO / CTA-CTE</v>
      </c>
      <c r="F380" s="597" t="s">
        <v>3708</v>
      </c>
      <c r="G380" s="38" t="s">
        <v>2864</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2873</v>
      </c>
      <c r="L380" s="3"/>
      <c r="M380" s="3" t="s">
        <v>2002</v>
      </c>
      <c r="N380" s="3" t="s">
        <v>1975</v>
      </c>
      <c r="O380" s="505" t="s">
        <v>3496</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5669</v>
      </c>
      <c r="AB380" s="148" t="s">
        <v>3783</v>
      </c>
      <c r="AC380" s="148" t="s">
        <v>67</v>
      </c>
      <c r="AD380" s="146" t="s">
        <v>2766</v>
      </c>
      <c r="AE380" s="184" t="str">
        <f>OBRA!Y378</f>
        <v>ARQ. JAIME CONDE GOMEZ</v>
      </c>
      <c r="AF380" s="19">
        <v>1</v>
      </c>
      <c r="AG380" s="2" t="s">
        <v>1841</v>
      </c>
      <c r="AH380" s="184" t="s">
        <v>67</v>
      </c>
      <c r="AI380" s="2">
        <v>2000</v>
      </c>
      <c r="AJ380" s="514">
        <v>48500</v>
      </c>
      <c r="AK380" s="514"/>
      <c r="AL380" s="1542"/>
      <c r="AM380" s="1543"/>
      <c r="AN380" s="988" t="s">
        <v>67</v>
      </c>
      <c r="AO380" s="988" t="s">
        <v>67</v>
      </c>
      <c r="AP380" s="988" t="s">
        <v>67</v>
      </c>
      <c r="AQ380" s="1161" t="s">
        <v>67</v>
      </c>
      <c r="AR380" s="1294"/>
      <c r="AS380" s="996" t="s">
        <v>67</v>
      </c>
      <c r="AT380" s="514"/>
      <c r="AU380" s="514"/>
      <c r="AV380" s="514"/>
      <c r="AW380" s="514"/>
      <c r="AX380" s="514"/>
      <c r="AY380" s="514"/>
      <c r="AZ380" s="514"/>
      <c r="BA380" s="514"/>
      <c r="BB380" s="514"/>
      <c r="BC380" s="514"/>
      <c r="BD380" s="514"/>
      <c r="BE380" s="514"/>
      <c r="BF380" s="514"/>
      <c r="BG380" s="514"/>
      <c r="BH380" s="514"/>
      <c r="BI380" s="33" t="s">
        <v>550</v>
      </c>
      <c r="BJ380" s="12"/>
    </row>
    <row r="381" spans="1:62" ht="58.5" hidden="1" customHeight="1">
      <c r="A381" s="16">
        <f>OBRA!K379</f>
        <v>2019</v>
      </c>
      <c r="B381" s="781" t="s">
        <v>2094</v>
      </c>
      <c r="C381" s="781">
        <v>192.2</v>
      </c>
      <c r="D381" s="781"/>
      <c r="E381" s="2" t="str">
        <f>OBRA!N379</f>
        <v>P.I.D.</v>
      </c>
      <c r="F381" s="597" t="s">
        <v>3708</v>
      </c>
      <c r="G381" s="38" t="s">
        <v>2864</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2580</v>
      </c>
      <c r="O381" s="505" t="s">
        <v>3496</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5668</v>
      </c>
      <c r="AB381" s="148" t="str">
        <f>Z381</f>
        <v>C. JESÚS RAMÍREZ JIMÉNEZ</v>
      </c>
      <c r="AC381" s="2" t="s">
        <v>2962</v>
      </c>
      <c r="AD381" s="146" t="s">
        <v>2962</v>
      </c>
      <c r="AE381" s="184" t="str">
        <f>OBRA!Y379</f>
        <v>LIC. SALVADOR CONTRERAS OLGUÍN</v>
      </c>
      <c r="AF381" s="19">
        <v>1</v>
      </c>
      <c r="AG381" s="2" t="s">
        <v>1573</v>
      </c>
      <c r="AH381" s="184" t="s">
        <v>67</v>
      </c>
      <c r="AI381" s="2">
        <v>300</v>
      </c>
      <c r="AJ381" s="514">
        <v>2000</v>
      </c>
      <c r="AK381" s="514"/>
      <c r="AL381" s="1542"/>
      <c r="AM381" s="1543"/>
      <c r="AN381" s="988" t="s">
        <v>67</v>
      </c>
      <c r="AO381" s="988" t="s">
        <v>67</v>
      </c>
      <c r="AP381" s="988" t="s">
        <v>67</v>
      </c>
      <c r="AQ381" s="1161" t="s">
        <v>67</v>
      </c>
      <c r="AR381" s="1294"/>
      <c r="AS381" s="996" t="s">
        <v>67</v>
      </c>
      <c r="AT381" s="514"/>
      <c r="AU381" s="514"/>
      <c r="AV381" s="514"/>
      <c r="AW381" s="514"/>
      <c r="AX381" s="514"/>
      <c r="AY381" s="514"/>
      <c r="AZ381" s="514"/>
      <c r="BA381" s="514"/>
      <c r="BB381" s="514"/>
      <c r="BC381" s="514"/>
      <c r="BD381" s="514"/>
      <c r="BE381" s="514"/>
      <c r="BF381" s="514"/>
      <c r="BG381" s="514"/>
      <c r="BH381" s="514"/>
      <c r="BI381" s="33" t="s">
        <v>550</v>
      </c>
      <c r="BJ381" s="12"/>
    </row>
    <row r="382" spans="1:62" ht="70.5" hidden="1" customHeight="1">
      <c r="A382" s="16">
        <f>OBRA!K380</f>
        <v>2019</v>
      </c>
      <c r="B382" s="781" t="s">
        <v>2094</v>
      </c>
      <c r="C382" s="781">
        <v>192.3</v>
      </c>
      <c r="D382" s="781"/>
      <c r="E382" s="2" t="str">
        <f>OBRA!N380</f>
        <v>P.I.D.</v>
      </c>
      <c r="F382" s="597" t="s">
        <v>3708</v>
      </c>
      <c r="G382" s="38" t="s">
        <v>2864</v>
      </c>
      <c r="H382" s="12" t="str">
        <f>OBRA!O380</f>
        <v>PID/2019 - SJC</v>
      </c>
      <c r="I382" s="2" t="str">
        <f>OBRA!P380</f>
        <v>ADQUISICIÓN</v>
      </c>
      <c r="J382" s="3" t="str">
        <f>OBRA!Q380</f>
        <v>ADQUISICIÓN DE: UN MUELLE FLOTANTE Y ESTACIÓN DE RECICLADO, PARA LA LOCALIDAD DE SAN JUAN CÓSALA.</v>
      </c>
      <c r="K382" s="3" t="s">
        <v>2130</v>
      </c>
      <c r="L382" s="3"/>
      <c r="M382" s="3" t="s">
        <v>3014</v>
      </c>
      <c r="N382" s="3" t="s">
        <v>2527</v>
      </c>
      <c r="O382" s="505" t="s">
        <v>3496</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5668</v>
      </c>
      <c r="AB382" s="148" t="str">
        <f>Z382</f>
        <v>C. JESÚS RAMÍREZ JIMÉNEZ</v>
      </c>
      <c r="AC382" s="2" t="s">
        <v>2962</v>
      </c>
      <c r="AD382" s="146" t="s">
        <v>2962</v>
      </c>
      <c r="AE382" s="184" t="str">
        <f>OBRA!Y380</f>
        <v>ARQ. CESAR ANTONIO ALONSO JIMENEZ</v>
      </c>
      <c r="AF382" s="19">
        <v>1</v>
      </c>
      <c r="AG382" s="2" t="s">
        <v>1573</v>
      </c>
      <c r="AH382" s="184" t="s">
        <v>67</v>
      </c>
      <c r="AI382" s="2">
        <v>300</v>
      </c>
      <c r="AJ382" s="514">
        <v>2000</v>
      </c>
      <c r="AK382" s="514"/>
      <c r="AL382" s="1542"/>
      <c r="AM382" s="1543"/>
      <c r="AN382" s="988" t="s">
        <v>67</v>
      </c>
      <c r="AO382" s="988" t="s">
        <v>67</v>
      </c>
      <c r="AP382" s="988" t="s">
        <v>67</v>
      </c>
      <c r="AQ382" s="1161" t="s">
        <v>67</v>
      </c>
      <c r="AR382" s="1294"/>
      <c r="AS382" s="996" t="s">
        <v>67</v>
      </c>
      <c r="AT382" s="514"/>
      <c r="AU382" s="514"/>
      <c r="AV382" s="514"/>
      <c r="AW382" s="514"/>
      <c r="AX382" s="514"/>
      <c r="AY382" s="514"/>
      <c r="AZ382" s="514"/>
      <c r="BA382" s="514"/>
      <c r="BB382" s="514"/>
      <c r="BC382" s="514"/>
      <c r="BD382" s="514"/>
      <c r="BE382" s="514"/>
      <c r="BF382" s="514"/>
      <c r="BG382" s="514"/>
      <c r="BH382" s="514"/>
      <c r="BI382" s="33" t="s">
        <v>550</v>
      </c>
      <c r="BJ382" s="12"/>
    </row>
    <row r="383" spans="1:62" ht="72" hidden="1" customHeight="1">
      <c r="A383" s="16">
        <f>OBRA!K381</f>
        <v>2019</v>
      </c>
      <c r="B383" s="781" t="s">
        <v>2094</v>
      </c>
      <c r="C383" s="781">
        <v>193.1</v>
      </c>
      <c r="D383" s="781"/>
      <c r="E383" s="2" t="str">
        <f>OBRA!N381</f>
        <v>CUENTA CORRIENTE</v>
      </c>
      <c r="F383" s="18" t="s">
        <v>1427</v>
      </c>
      <c r="G383" s="156" t="s">
        <v>2864</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2666</v>
      </c>
      <c r="O383" s="544"/>
      <c r="P383" s="4">
        <f>OBRA!S381</f>
        <v>4800</v>
      </c>
      <c r="Q383" s="1045">
        <f t="shared" si="19"/>
        <v>4137.9310344827591</v>
      </c>
      <c r="R383" s="79" t="s">
        <v>3957</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5668</v>
      </c>
      <c r="AB383" s="148" t="str">
        <f>Z383</f>
        <v>C. VICENTE NAVARRO RUIZ</v>
      </c>
      <c r="AC383" s="2" t="s">
        <v>2962</v>
      </c>
      <c r="AD383" s="146" t="s">
        <v>2962</v>
      </c>
      <c r="AE383" s="184" t="str">
        <f>OBRA!Y381</f>
        <v>-</v>
      </c>
      <c r="AF383" s="19" t="s">
        <v>1176</v>
      </c>
      <c r="AG383" s="2" t="s">
        <v>1176</v>
      </c>
      <c r="AH383" s="184" t="s">
        <v>67</v>
      </c>
      <c r="AI383" s="2" t="s">
        <v>1176</v>
      </c>
      <c r="AJ383" s="514" t="s">
        <v>1176</v>
      </c>
      <c r="AK383" s="514"/>
      <c r="AL383" s="1542"/>
      <c r="AM383" s="1543"/>
      <c r="AN383" s="1242"/>
      <c r="AO383" s="988" t="s">
        <v>67</v>
      </c>
      <c r="AP383" s="988" t="s">
        <v>67</v>
      </c>
      <c r="AQ383" s="1161" t="s">
        <v>67</v>
      </c>
      <c r="AR383" s="1294"/>
      <c r="AS383" s="996" t="s">
        <v>67</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OBRA!K382</f>
        <v>2019</v>
      </c>
      <c r="B384" s="781" t="s">
        <v>2094</v>
      </c>
      <c r="C384" s="781">
        <v>195.1</v>
      </c>
      <c r="D384" s="781"/>
      <c r="E384" s="2" t="str">
        <f>OBRA!N382</f>
        <v>RAMO 33</v>
      </c>
      <c r="F384" s="18" t="s">
        <v>1427</v>
      </c>
      <c r="G384" s="156" t="s">
        <v>2864</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2666</v>
      </c>
      <c r="O384" s="467" t="s">
        <v>3495</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5669</v>
      </c>
      <c r="AB384" s="148" t="s">
        <v>1833</v>
      </c>
      <c r="AC384" s="148" t="s">
        <v>2135</v>
      </c>
      <c r="AD384" s="146" t="s">
        <v>2759</v>
      </c>
      <c r="AE384" s="184" t="str">
        <f>OBRA!Y382</f>
        <v>-</v>
      </c>
      <c r="AF384" s="19" t="s">
        <v>1176</v>
      </c>
      <c r="AG384" s="2" t="s">
        <v>1176</v>
      </c>
      <c r="AH384" s="184" t="s">
        <v>1176</v>
      </c>
      <c r="AI384" s="2" t="s">
        <v>1176</v>
      </c>
      <c r="AJ384" s="514" t="s">
        <v>1176</v>
      </c>
      <c r="AK384" s="514"/>
      <c r="AL384" s="1542"/>
      <c r="AM384" s="1543"/>
      <c r="AN384" s="988" t="s">
        <v>67</v>
      </c>
      <c r="AO384" s="988" t="s">
        <v>67</v>
      </c>
      <c r="AP384" s="988" t="s">
        <v>67</v>
      </c>
      <c r="AQ384" s="1161" t="s">
        <v>67</v>
      </c>
      <c r="AR384" s="1294"/>
      <c r="AS384" s="996" t="s">
        <v>67</v>
      </c>
      <c r="AT384" s="529"/>
      <c r="AU384" s="529"/>
      <c r="AV384" s="529"/>
      <c r="AW384" s="529"/>
      <c r="AX384" s="529"/>
      <c r="AY384" s="529"/>
      <c r="AZ384" s="529"/>
      <c r="BA384" s="529"/>
      <c r="BB384" s="529"/>
      <c r="BC384" s="529"/>
      <c r="BD384" s="529"/>
      <c r="BE384" s="529"/>
      <c r="BF384" s="529"/>
      <c r="BG384" s="529"/>
      <c r="BH384" s="529"/>
      <c r="BI384" s="33" t="s">
        <v>550</v>
      </c>
      <c r="BJ384" s="12"/>
    </row>
    <row r="385" spans="1:62"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6248</v>
      </c>
      <c r="M385" s="3" t="s">
        <v>6296</v>
      </c>
      <c r="N385" s="3" t="s">
        <v>2527</v>
      </c>
      <c r="O385" s="467" t="s">
        <v>3497</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2771</v>
      </c>
      <c r="Z385" s="1070" t="str">
        <f>OBRA!X383</f>
        <v>CONSTRUCTORA PIMONT S.A. DE C.V.</v>
      </c>
      <c r="AA385" s="1746" t="s">
        <v>5669</v>
      </c>
      <c r="AB385" s="148" t="s">
        <v>1833</v>
      </c>
      <c r="AC385" s="148" t="s">
        <v>2135</v>
      </c>
      <c r="AD385" s="146" t="s">
        <v>2759</v>
      </c>
      <c r="AE385" s="184" t="str">
        <f>OBRA!Y383</f>
        <v>ING. J. GUADALUPE IBARRA RAMIREZ</v>
      </c>
      <c r="AF385" s="19">
        <v>100.55</v>
      </c>
      <c r="AG385" s="2" t="s">
        <v>1450</v>
      </c>
      <c r="AH385" s="607">
        <f t="shared" ref="AH385:AH423" si="23">X385/AF385</f>
        <v>7229.2087518647431</v>
      </c>
      <c r="AI385" s="511"/>
      <c r="AJ385" s="514">
        <v>7800</v>
      </c>
      <c r="AK385" s="514"/>
      <c r="AL385" s="1542"/>
      <c r="AM385" s="1543"/>
      <c r="AN385" s="1264" t="s">
        <v>3696</v>
      </c>
      <c r="AO385" s="1264" t="s">
        <v>3696</v>
      </c>
      <c r="AP385" s="1264" t="s">
        <v>3696</v>
      </c>
      <c r="AQ385" s="1313" t="s">
        <v>3696</v>
      </c>
      <c r="AR385" s="1945"/>
      <c r="AS385" s="1314" t="s">
        <v>3696</v>
      </c>
      <c r="AT385" s="1872">
        <f>76160.36*1.16</f>
        <v>88346.017599999992</v>
      </c>
      <c r="AU385" s="1872"/>
      <c r="AV385" s="1872">
        <f>118984.14*1.16</f>
        <v>138021.6024</v>
      </c>
      <c r="AW385" s="1872">
        <v>0</v>
      </c>
      <c r="AX385" s="1872">
        <f>323472.59*1.16</f>
        <v>375228.20439999999</v>
      </c>
      <c r="AY385" s="1872">
        <v>125836.33</v>
      </c>
      <c r="AZ385" s="1872">
        <v>0</v>
      </c>
      <c r="BA385" s="1872">
        <v>0</v>
      </c>
      <c r="BB385" s="1873">
        <v>98</v>
      </c>
      <c r="BC385" s="1873"/>
      <c r="BD385" s="1873">
        <v>100.55</v>
      </c>
      <c r="BE385" s="1873">
        <v>0</v>
      </c>
      <c r="BF385" s="1873">
        <v>440.01</v>
      </c>
      <c r="BG385" s="1873">
        <v>166.9</v>
      </c>
      <c r="BH385" s="1874">
        <v>0</v>
      </c>
      <c r="BI385" s="413" t="s">
        <v>550</v>
      </c>
      <c r="BJ385" s="12"/>
    </row>
    <row r="386" spans="1:62"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4751</v>
      </c>
      <c r="M386" s="3" t="s">
        <v>6325</v>
      </c>
      <c r="N386" s="3" t="s">
        <v>1975</v>
      </c>
      <c r="O386" s="467" t="s">
        <v>3497</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2878</v>
      </c>
      <c r="Z386" s="146" t="str">
        <f>OBRA!X384</f>
        <v>CONSTRUCTORA PIMONT S.A. DE C.V.</v>
      </c>
      <c r="AA386" s="146" t="s">
        <v>5669</v>
      </c>
      <c r="AB386" s="148" t="s">
        <v>1833</v>
      </c>
      <c r="AC386" s="148" t="s">
        <v>2135</v>
      </c>
      <c r="AD386" s="146" t="s">
        <v>2759</v>
      </c>
      <c r="AE386" s="184" t="str">
        <f>OBRA!Y384</f>
        <v>LIC. SALVADOR CONTRERAS OLGUÍN</v>
      </c>
      <c r="AF386" s="19">
        <v>295.60000000000002</v>
      </c>
      <c r="AG386" s="2" t="s">
        <v>1548</v>
      </c>
      <c r="AH386" s="607">
        <f t="shared" si="23"/>
        <v>473.95108254397832</v>
      </c>
      <c r="AI386" s="2">
        <v>21500</v>
      </c>
      <c r="AJ386" s="514">
        <v>21500</v>
      </c>
      <c r="AK386" s="514"/>
      <c r="AL386" s="1542"/>
      <c r="AM386" s="1543"/>
      <c r="AN386" s="1264" t="s">
        <v>3697</v>
      </c>
      <c r="AO386" s="1264" t="s">
        <v>3697</v>
      </c>
      <c r="AP386" s="1264" t="s">
        <v>3697</v>
      </c>
      <c r="AQ386" s="1313" t="s">
        <v>3697</v>
      </c>
      <c r="AR386" s="1945"/>
      <c r="AS386" s="1314" t="s">
        <v>3697</v>
      </c>
      <c r="AT386" s="1862"/>
      <c r="AU386" s="1862"/>
      <c r="AV386" s="1862"/>
      <c r="AW386" s="1862"/>
      <c r="AX386" s="1862"/>
      <c r="AY386" s="1862"/>
      <c r="AZ386" s="1862"/>
      <c r="BA386" s="1862"/>
      <c r="BB386" s="1863"/>
      <c r="BC386" s="1863"/>
      <c r="BD386" s="1863"/>
      <c r="BE386" s="1863"/>
      <c r="BF386" s="1863"/>
      <c r="BG386" s="1863"/>
      <c r="BH386" s="1863"/>
      <c r="BI386" s="33" t="s">
        <v>550</v>
      </c>
      <c r="BJ386" s="12"/>
    </row>
    <row r="387" spans="1:62"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2527</v>
      </c>
      <c r="O387" s="467" t="s">
        <v>3497</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2879</v>
      </c>
      <c r="Z387" s="146" t="str">
        <f>OBRA!X385</f>
        <v>ARQUITECTURA INGENIERÍA MENDPAD S.A. DE C.V.</v>
      </c>
      <c r="AA387" s="146" t="s">
        <v>5669</v>
      </c>
      <c r="AB387" s="148" t="s">
        <v>3784</v>
      </c>
      <c r="AC387" s="148" t="s">
        <v>2140</v>
      </c>
      <c r="AD387" s="146" t="s">
        <v>2763</v>
      </c>
      <c r="AE387" s="184" t="str">
        <f>OBRA!Y385</f>
        <v>LIC. SALVADOR CONTRERAS OLGUÍN</v>
      </c>
      <c r="AF387" s="19">
        <v>138</v>
      </c>
      <c r="AG387" s="2" t="s">
        <v>1450</v>
      </c>
      <c r="AH387" s="607">
        <f t="shared" si="23"/>
        <v>2890.8014492753623</v>
      </c>
      <c r="AI387" s="2">
        <v>150</v>
      </c>
      <c r="AJ387" s="507"/>
      <c r="AK387" s="507"/>
      <c r="AL387" s="626"/>
      <c r="AM387" s="1546"/>
      <c r="AN387" s="1264" t="s">
        <v>3698</v>
      </c>
      <c r="AO387" s="1264" t="s">
        <v>3698</v>
      </c>
      <c r="AP387" s="1264" t="s">
        <v>3698</v>
      </c>
      <c r="AQ387" s="1313" t="s">
        <v>3698</v>
      </c>
      <c r="AR387" s="1945"/>
      <c r="AS387" s="1314" t="s">
        <v>3698</v>
      </c>
      <c r="AT387" s="993"/>
      <c r="AU387" s="993"/>
      <c r="AV387" s="993"/>
      <c r="AW387" s="993"/>
      <c r="AX387" s="993"/>
      <c r="AY387" s="993"/>
      <c r="AZ387" s="993"/>
      <c r="BA387" s="993"/>
      <c r="BB387" s="993"/>
      <c r="BC387" s="993"/>
      <c r="BD387" s="993"/>
      <c r="BE387" s="993"/>
      <c r="BF387" s="993"/>
      <c r="BG387" s="993"/>
      <c r="BH387" s="993"/>
      <c r="BI387" s="33" t="s">
        <v>550</v>
      </c>
      <c r="BJ387" s="12"/>
    </row>
    <row r="388" spans="1:62"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4751</v>
      </c>
      <c r="M388" s="3" t="s">
        <v>6321</v>
      </c>
      <c r="N388" s="3" t="s">
        <v>2541</v>
      </c>
      <c r="O388" s="467" t="s">
        <v>3497</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2772</v>
      </c>
      <c r="Z388" s="146" t="str">
        <f>OBRA!X386</f>
        <v>CONSTRUCTORA PIMONT S.A. DE C.V.</v>
      </c>
      <c r="AA388" s="146" t="s">
        <v>5669</v>
      </c>
      <c r="AB388" s="148" t="s">
        <v>1833</v>
      </c>
      <c r="AC388" s="148" t="s">
        <v>2135</v>
      </c>
      <c r="AD388" s="146" t="s">
        <v>2759</v>
      </c>
      <c r="AE388" s="184" t="str">
        <f>OBRA!Y386</f>
        <v>LIC. SALVADOR CONTRERAS OLGUÍN</v>
      </c>
      <c r="AF388" s="19">
        <v>240</v>
      </c>
      <c r="AG388" s="2" t="s">
        <v>1548</v>
      </c>
      <c r="AH388" s="607">
        <f t="shared" si="23"/>
        <v>618.24520833333338</v>
      </c>
      <c r="AI388" s="511"/>
      <c r="AJ388" s="514">
        <v>2000</v>
      </c>
      <c r="AK388" s="514"/>
      <c r="AL388" s="1542"/>
      <c r="AM388" s="1543"/>
      <c r="AN388" s="1264" t="s">
        <v>3699</v>
      </c>
      <c r="AO388" s="1264" t="s">
        <v>3699</v>
      </c>
      <c r="AP388" s="1264" t="s">
        <v>3699</v>
      </c>
      <c r="AQ388" s="1313" t="s">
        <v>3699</v>
      </c>
      <c r="AR388" s="1945"/>
      <c r="AS388" s="1314" t="s">
        <v>3699</v>
      </c>
      <c r="AT388" s="1857"/>
      <c r="AU388" s="1857"/>
      <c r="AV388" s="1857"/>
      <c r="AW388" s="1857"/>
      <c r="AX388" s="1857"/>
      <c r="AY388" s="1857"/>
      <c r="AZ388" s="1857"/>
      <c r="BA388" s="1857"/>
      <c r="BB388" s="1858"/>
      <c r="BC388" s="1858"/>
      <c r="BD388" s="1858"/>
      <c r="BE388" s="1858"/>
      <c r="BF388" s="1858"/>
      <c r="BG388" s="1858"/>
      <c r="BH388" s="1858"/>
      <c r="BI388" s="33" t="s">
        <v>550</v>
      </c>
      <c r="BJ388" s="12"/>
    </row>
    <row r="389" spans="1:62"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6245</v>
      </c>
      <c r="M389" s="3" t="s">
        <v>6303</v>
      </c>
      <c r="N389" s="3" t="s">
        <v>1975</v>
      </c>
      <c r="O389" s="467" t="s">
        <v>3497</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2773</v>
      </c>
      <c r="Z389" s="146" t="str">
        <f>OBRA!X387</f>
        <v>SIFRAL INGENIERIA S.A. DE C.V.</v>
      </c>
      <c r="AA389" s="146" t="s">
        <v>5669</v>
      </c>
      <c r="AB389" s="148" t="s">
        <v>2144</v>
      </c>
      <c r="AC389" s="148" t="s">
        <v>2145</v>
      </c>
      <c r="AD389" s="146" t="s">
        <v>2768</v>
      </c>
      <c r="AE389" s="184" t="str">
        <f>OBRA!Y387</f>
        <v>ING. J. GUADALUPE IBARRA RAMIREZ</v>
      </c>
      <c r="AF389" s="19">
        <v>98.47</v>
      </c>
      <c r="AG389" s="2" t="s">
        <v>1450</v>
      </c>
      <c r="AH389" s="607">
        <f t="shared" si="23"/>
        <v>5634.0416370468156</v>
      </c>
      <c r="AI389" s="2">
        <v>160</v>
      </c>
      <c r="AJ389" s="514">
        <v>1200</v>
      </c>
      <c r="AK389" s="514"/>
      <c r="AL389" s="1542"/>
      <c r="AM389" s="1543"/>
      <c r="AN389" s="1264" t="s">
        <v>3700</v>
      </c>
      <c r="AO389" s="1264" t="s">
        <v>3700</v>
      </c>
      <c r="AP389" s="1264" t="s">
        <v>3700</v>
      </c>
      <c r="AQ389" s="1313" t="s">
        <v>3700</v>
      </c>
      <c r="AR389" s="1945"/>
      <c r="AS389" s="1321" t="s">
        <v>3700</v>
      </c>
      <c r="AT389" s="1871">
        <f>131392.45*1.16</f>
        <v>152415.242</v>
      </c>
      <c r="AU389" s="1871"/>
      <c r="AV389" s="1871">
        <v>0</v>
      </c>
      <c r="AW389" s="1871">
        <v>0</v>
      </c>
      <c r="AX389" s="1871">
        <f>(727637.46*1.16)/2</f>
        <v>422029.72679999995</v>
      </c>
      <c r="AY389" s="1871">
        <v>0</v>
      </c>
      <c r="AZ389" s="1871">
        <v>0</v>
      </c>
      <c r="BA389" s="1871">
        <v>0</v>
      </c>
      <c r="BB389" s="1161">
        <v>393.89</v>
      </c>
      <c r="BC389" s="1161"/>
      <c r="BD389" s="1161">
        <v>0</v>
      </c>
      <c r="BE389" s="1161">
        <v>0</v>
      </c>
      <c r="BF389" s="1161">
        <v>669.6</v>
      </c>
      <c r="BG389" s="1161">
        <v>0</v>
      </c>
      <c r="BH389" s="1669">
        <v>0</v>
      </c>
      <c r="BI389" s="413" t="s">
        <v>550</v>
      </c>
      <c r="BJ389" s="12"/>
    </row>
    <row r="390" spans="1:62"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6246</v>
      </c>
      <c r="M390" s="3" t="s">
        <v>6303</v>
      </c>
      <c r="N390" s="3" t="s">
        <v>1975</v>
      </c>
      <c r="O390" s="467" t="s">
        <v>3497</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2774</v>
      </c>
      <c r="Z390" s="146" t="str">
        <f>OBRA!X388</f>
        <v>SIFRAL INGENIERIA S.A. DE C.V.</v>
      </c>
      <c r="AA390" s="146" t="s">
        <v>5669</v>
      </c>
      <c r="AB390" s="148" t="s">
        <v>2144</v>
      </c>
      <c r="AC390" s="148" t="s">
        <v>2145</v>
      </c>
      <c r="AD390" s="146" t="s">
        <v>2768</v>
      </c>
      <c r="AE390" s="184" t="str">
        <f>OBRA!Y388</f>
        <v>ING. J. GUADALUPE IBARRA RAMIREZ</v>
      </c>
      <c r="AF390" s="19">
        <v>104.3</v>
      </c>
      <c r="AG390" s="2" t="s">
        <v>1450</v>
      </c>
      <c r="AH390" s="607">
        <f t="shared" si="23"/>
        <v>5464.5613614573349</v>
      </c>
      <c r="AI390" s="2">
        <v>160</v>
      </c>
      <c r="AJ390" s="514">
        <v>1200</v>
      </c>
      <c r="AK390" s="514"/>
      <c r="AL390" s="1542"/>
      <c r="AM390" s="1543"/>
      <c r="AN390" s="1264" t="s">
        <v>3701</v>
      </c>
      <c r="AO390" s="1264" t="s">
        <v>3701</v>
      </c>
      <c r="AP390" s="1264" t="s">
        <v>3701</v>
      </c>
      <c r="AQ390" s="1313" t="s">
        <v>3701</v>
      </c>
      <c r="AR390" s="1945"/>
      <c r="AS390" s="1321" t="s">
        <v>3701</v>
      </c>
      <c r="AT390" s="1871">
        <v>0</v>
      </c>
      <c r="AU390" s="1871"/>
      <c r="AV390" s="1871">
        <f>190573.87*1.16</f>
        <v>221065.68919999999</v>
      </c>
      <c r="AW390" s="1871">
        <v>0</v>
      </c>
      <c r="AX390" s="1871">
        <f>(727637.46*1.16)/2</f>
        <v>422029.72679999995</v>
      </c>
      <c r="AY390" s="1871">
        <v>0</v>
      </c>
      <c r="AZ390" s="1871">
        <v>0</v>
      </c>
      <c r="BA390" s="1871">
        <v>0</v>
      </c>
      <c r="BB390" s="1161">
        <v>0</v>
      </c>
      <c r="BC390" s="1161"/>
      <c r="BD390" s="1161">
        <v>104.3</v>
      </c>
      <c r="BE390" s="1161">
        <v>0</v>
      </c>
      <c r="BF390" s="1161">
        <v>669.6</v>
      </c>
      <c r="BG390" s="1161">
        <v>0</v>
      </c>
      <c r="BH390" s="1669">
        <v>0</v>
      </c>
      <c r="BI390" s="413" t="s">
        <v>550</v>
      </c>
      <c r="BJ390" s="12"/>
    </row>
    <row r="391" spans="1:62"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2527</v>
      </c>
      <c r="O391" s="467" t="s">
        <v>3497</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2775</v>
      </c>
      <c r="Z391" s="146" t="str">
        <f>OBRA!X389</f>
        <v>ING. OCTAVIO AUGUSTO GONZALEZ TREJO</v>
      </c>
      <c r="AA391" s="146" t="s">
        <v>5668</v>
      </c>
      <c r="AB391" s="148" t="str">
        <f>Z391</f>
        <v>ING. OCTAVIO AUGUSTO GONZALEZ TREJO</v>
      </c>
      <c r="AC391" s="2" t="s">
        <v>2962</v>
      </c>
      <c r="AD391" s="146" t="s">
        <v>2962</v>
      </c>
      <c r="AE391" s="184" t="str">
        <f>OBRA!Y389</f>
        <v>LIC. SALVADOR CONTRERAS OLGUÍN</v>
      </c>
      <c r="AF391" s="19">
        <v>1050</v>
      </c>
      <c r="AG391" s="2" t="s">
        <v>1548</v>
      </c>
      <c r="AH391" s="607">
        <f t="shared" si="23"/>
        <v>904.51295238095236</v>
      </c>
      <c r="AI391" s="2">
        <v>1200</v>
      </c>
      <c r="AJ391" s="507"/>
      <c r="AK391" s="507"/>
      <c r="AL391" s="626"/>
      <c r="AM391" s="1546"/>
      <c r="AN391" s="1264" t="s">
        <v>3702</v>
      </c>
      <c r="AO391" s="1264" t="s">
        <v>3702</v>
      </c>
      <c r="AP391" s="1264" t="s">
        <v>3702</v>
      </c>
      <c r="AQ391" s="1313" t="s">
        <v>3702</v>
      </c>
      <c r="AR391" s="1945"/>
      <c r="AS391" s="1321" t="s">
        <v>3702</v>
      </c>
      <c r="AT391" s="1864"/>
      <c r="AU391" s="1864"/>
      <c r="AV391" s="1864"/>
      <c r="AW391" s="1864"/>
      <c r="AX391" s="1864"/>
      <c r="AY391" s="1864"/>
      <c r="AZ391" s="1864"/>
      <c r="BA391" s="1864"/>
      <c r="BB391" s="1864"/>
      <c r="BC391" s="1864"/>
      <c r="BD391" s="1864"/>
      <c r="BE391" s="1864"/>
      <c r="BF391" s="1864"/>
      <c r="BG391" s="1864"/>
      <c r="BH391" s="1864"/>
      <c r="BI391" s="33" t="s">
        <v>550</v>
      </c>
      <c r="BJ391" s="12"/>
    </row>
    <row r="392" spans="1:62"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5420</v>
      </c>
      <c r="M392" s="173" t="s">
        <v>2151</v>
      </c>
      <c r="N392" s="173" t="s">
        <v>2509</v>
      </c>
      <c r="O392" s="467" t="s">
        <v>3497</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2776</v>
      </c>
      <c r="Z392" s="146" t="str">
        <f>OBRA!X390</f>
        <v>ING. OCTAVIO AUGUSTO GONZALEZ TREJO</v>
      </c>
      <c r="AA392" s="146" t="s">
        <v>5668</v>
      </c>
      <c r="AB392" s="148" t="str">
        <f>Z392</f>
        <v>ING. OCTAVIO AUGUSTO GONZALEZ TREJO</v>
      </c>
      <c r="AC392" s="2" t="s">
        <v>2962</v>
      </c>
      <c r="AD392" s="146" t="s">
        <v>2962</v>
      </c>
      <c r="AE392" s="184" t="str">
        <f>OBRA!Y390</f>
        <v>ING. RIGOBERTO OLMEDO RAMOS</v>
      </c>
      <c r="AF392" s="19">
        <v>1</v>
      </c>
      <c r="AG392" s="2" t="s">
        <v>1573</v>
      </c>
      <c r="AH392" s="184">
        <f t="shared" si="23"/>
        <v>707135.33</v>
      </c>
      <c r="AI392" s="2">
        <v>1250</v>
      </c>
      <c r="AJ392" s="514">
        <v>1250</v>
      </c>
      <c r="AK392" s="514"/>
      <c r="AL392" s="1542"/>
      <c r="AM392" s="1543"/>
      <c r="AN392" s="1264" t="s">
        <v>3703</v>
      </c>
      <c r="AO392" s="1264" t="s">
        <v>3703</v>
      </c>
      <c r="AP392" s="1264" t="s">
        <v>3703</v>
      </c>
      <c r="AQ392" s="1313" t="s">
        <v>3703</v>
      </c>
      <c r="AR392" s="1945"/>
      <c r="AS392" s="1321" t="s">
        <v>3703</v>
      </c>
      <c r="AT392" s="1850"/>
      <c r="AU392" s="1850"/>
      <c r="AV392" s="1850"/>
      <c r="AW392" s="1850"/>
      <c r="AX392" s="1850"/>
      <c r="AY392" s="1850"/>
      <c r="AZ392" s="1850"/>
      <c r="BA392" s="1850"/>
      <c r="BB392" s="994"/>
      <c r="BC392" s="994"/>
      <c r="BD392" s="994"/>
      <c r="BE392" s="994"/>
      <c r="BF392" s="994"/>
      <c r="BG392" s="994"/>
      <c r="BH392" s="994"/>
      <c r="BI392" s="33" t="s">
        <v>550</v>
      </c>
      <c r="BJ392" s="12"/>
    </row>
    <row r="393" spans="1:62"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5420</v>
      </c>
      <c r="M393" s="3" t="s">
        <v>2153</v>
      </c>
      <c r="N393" s="3" t="s">
        <v>1975</v>
      </c>
      <c r="O393" s="467" t="s">
        <v>3497</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2777</v>
      </c>
      <c r="Z393" s="146" t="str">
        <f>OBRA!X391</f>
        <v>ING. OCTAVIO AUGUSTO GONZALEZ TREJO</v>
      </c>
      <c r="AA393" s="146" t="s">
        <v>5668</v>
      </c>
      <c r="AB393" s="148" t="str">
        <f>Z393</f>
        <v>ING. OCTAVIO AUGUSTO GONZALEZ TREJO</v>
      </c>
      <c r="AC393" s="2" t="s">
        <v>2962</v>
      </c>
      <c r="AD393" s="146" t="s">
        <v>2962</v>
      </c>
      <c r="AE393" s="184" t="str">
        <f>OBRA!Y391</f>
        <v>ING. JUAN MANUEL GARCIA ESCOTO</v>
      </c>
      <c r="AF393" s="19">
        <v>2000</v>
      </c>
      <c r="AG393" s="2" t="s">
        <v>1548</v>
      </c>
      <c r="AH393" s="607">
        <f t="shared" si="23"/>
        <v>206.50320000000002</v>
      </c>
      <c r="AI393" s="2">
        <v>21500</v>
      </c>
      <c r="AJ393" s="514">
        <v>21500</v>
      </c>
      <c r="AK393" s="514"/>
      <c r="AL393" s="1542"/>
      <c r="AM393" s="1543"/>
      <c r="AN393" s="1301" t="s">
        <v>3704</v>
      </c>
      <c r="AO393" s="1301" t="s">
        <v>3704</v>
      </c>
      <c r="AP393" s="1301" t="s">
        <v>3704</v>
      </c>
      <c r="AQ393" s="1285" t="s">
        <v>3704</v>
      </c>
      <c r="AR393" s="1263"/>
      <c r="AS393" s="1321" t="s">
        <v>3704</v>
      </c>
      <c r="AT393" s="1850"/>
      <c r="AU393" s="1850"/>
      <c r="AV393" s="1850"/>
      <c r="AW393" s="1850"/>
      <c r="AX393" s="1850"/>
      <c r="AY393" s="1850"/>
      <c r="AZ393" s="1850"/>
      <c r="BA393" s="1850"/>
      <c r="BB393" s="994"/>
      <c r="BC393" s="994"/>
      <c r="BD393" s="994"/>
      <c r="BE393" s="994"/>
      <c r="BF393" s="994"/>
      <c r="BG393" s="994"/>
      <c r="BH393" s="994"/>
      <c r="BI393" s="33" t="s">
        <v>550</v>
      </c>
      <c r="BJ393" s="12"/>
    </row>
    <row r="394" spans="1:62"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5420</v>
      </c>
      <c r="M394" s="3" t="s">
        <v>2153</v>
      </c>
      <c r="N394" s="3" t="s">
        <v>1975</v>
      </c>
      <c r="O394" s="467" t="s">
        <v>3497</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2778</v>
      </c>
      <c r="Z394" s="146" t="str">
        <f>OBRA!X392</f>
        <v>CONSTRUCTORA PIMONT S.A. DE C.V.</v>
      </c>
      <c r="AA394" s="146" t="s">
        <v>5669</v>
      </c>
      <c r="AB394" s="148" t="s">
        <v>1833</v>
      </c>
      <c r="AC394" s="148" t="s">
        <v>2135</v>
      </c>
      <c r="AD394" s="146" t="s">
        <v>2759</v>
      </c>
      <c r="AE394" s="184" t="str">
        <f>OBRA!Y392</f>
        <v>ING. J. GUADALUPE IBARRA RAMIREZ</v>
      </c>
      <c r="AF394" s="19">
        <v>1</v>
      </c>
      <c r="AG394" s="2" t="s">
        <v>1573</v>
      </c>
      <c r="AH394" s="184">
        <f t="shared" si="23"/>
        <v>1661297.6</v>
      </c>
      <c r="AI394" s="2">
        <v>21500</v>
      </c>
      <c r="AJ394" s="514">
        <v>21500</v>
      </c>
      <c r="AK394" s="514"/>
      <c r="AL394" s="1542"/>
      <c r="AM394" s="1543"/>
      <c r="AN394" s="1322" t="s">
        <v>3705</v>
      </c>
      <c r="AO394" s="1322" t="s">
        <v>3705</v>
      </c>
      <c r="AP394" s="1322" t="s">
        <v>3705</v>
      </c>
      <c r="AQ394" s="1313" t="s">
        <v>3705</v>
      </c>
      <c r="AR394" s="1945"/>
      <c r="AS394" s="1314" t="s">
        <v>3705</v>
      </c>
      <c r="AT394" s="1850"/>
      <c r="AU394" s="1850"/>
      <c r="AV394" s="1850"/>
      <c r="AW394" s="1850"/>
      <c r="AX394" s="1850"/>
      <c r="AY394" s="1850"/>
      <c r="AZ394" s="1850"/>
      <c r="BA394" s="1850"/>
      <c r="BB394" s="994"/>
      <c r="BC394" s="994"/>
      <c r="BD394" s="994"/>
      <c r="BE394" s="994"/>
      <c r="BF394" s="994"/>
      <c r="BG394" s="994"/>
      <c r="BH394" s="994"/>
      <c r="BI394" s="33" t="s">
        <v>550</v>
      </c>
      <c r="BJ394" s="12"/>
    </row>
    <row r="395" spans="1:62"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5420</v>
      </c>
      <c r="M395" s="3" t="s">
        <v>2154</v>
      </c>
      <c r="N395" s="3" t="s">
        <v>1976</v>
      </c>
      <c r="O395" s="467" t="s">
        <v>3498</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2779</v>
      </c>
      <c r="Z395" s="146" t="str">
        <f>OBRA!X393</f>
        <v xml:space="preserve">CONSTRUCTORA Y EDIFICACIONES REMI Y ASOCIADOS S.A. DE C.V. </v>
      </c>
      <c r="AA395" s="146" t="s">
        <v>5669</v>
      </c>
      <c r="AB395" s="148" t="s">
        <v>2155</v>
      </c>
      <c r="AC395" s="148" t="s">
        <v>2156</v>
      </c>
      <c r="AD395" s="146" t="s">
        <v>2769</v>
      </c>
      <c r="AE395" s="184" t="str">
        <f>OBRA!Y393</f>
        <v>ING. RIGOBERTO OLMEDO RAMOS</v>
      </c>
      <c r="AF395" s="19">
        <v>1</v>
      </c>
      <c r="AG395" s="2" t="s">
        <v>1573</v>
      </c>
      <c r="AH395" s="184">
        <f t="shared" si="23"/>
        <v>643537.42000000004</v>
      </c>
      <c r="AI395" s="2">
        <v>2400</v>
      </c>
      <c r="AJ395" s="514">
        <v>2400</v>
      </c>
      <c r="AK395" s="514"/>
      <c r="AL395" s="1542"/>
      <c r="AM395" s="1543"/>
      <c r="AN395" s="1323" t="s">
        <v>3706</v>
      </c>
      <c r="AO395" s="1263" t="s">
        <v>3706</v>
      </c>
      <c r="AP395" s="1263" t="s">
        <v>3706</v>
      </c>
      <c r="AQ395" s="1285" t="s">
        <v>3706</v>
      </c>
      <c r="AR395" s="1263"/>
      <c r="AS395" s="1314" t="s">
        <v>3706</v>
      </c>
      <c r="AT395" s="1850"/>
      <c r="AU395" s="1850"/>
      <c r="AV395" s="1850"/>
      <c r="AW395" s="1850"/>
      <c r="AX395" s="1850"/>
      <c r="AY395" s="1850"/>
      <c r="AZ395" s="1850"/>
      <c r="BA395" s="1850"/>
      <c r="BB395" s="994"/>
      <c r="BC395" s="994"/>
      <c r="BD395" s="994"/>
      <c r="BE395" s="994"/>
      <c r="BF395" s="994"/>
      <c r="BG395" s="994"/>
      <c r="BH395" s="994"/>
      <c r="BI395" s="33" t="s">
        <v>550</v>
      </c>
      <c r="BJ395" s="12"/>
    </row>
    <row r="396" spans="1:62"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1544"/>
      <c r="AM396" s="1545"/>
      <c r="AN396" s="565"/>
      <c r="AO396" s="821" t="s">
        <v>67</v>
      </c>
      <c r="AP396" s="821" t="s">
        <v>67</v>
      </c>
      <c r="AQ396" s="422" t="s">
        <v>67</v>
      </c>
      <c r="AR396" s="515"/>
      <c r="AS396" s="83" t="s">
        <v>67</v>
      </c>
      <c r="AT396" s="1033"/>
      <c r="AU396" s="1033"/>
      <c r="AV396" s="1033"/>
      <c r="AW396" s="1033"/>
      <c r="AX396" s="1033"/>
      <c r="AY396" s="1033"/>
      <c r="AZ396" s="1033"/>
      <c r="BA396" s="1033"/>
      <c r="BB396" s="1033"/>
      <c r="BC396" s="1033"/>
      <c r="BD396" s="1033"/>
      <c r="BE396" s="1033"/>
      <c r="BF396" s="1033"/>
      <c r="BG396" s="1033"/>
      <c r="BH396" s="1033"/>
      <c r="BI396" s="90"/>
      <c r="BJ396" s="103"/>
    </row>
    <row r="397" spans="1:62"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4755</v>
      </c>
      <c r="M397" s="3" t="s">
        <v>6318</v>
      </c>
      <c r="N397" s="3" t="s">
        <v>2541</v>
      </c>
      <c r="O397" s="467" t="s">
        <v>3498</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2780</v>
      </c>
      <c r="Z397" s="146" t="str">
        <f>OBRA!X395</f>
        <v>CONSTRUCTORA PIMONT S.A. DE C.V.</v>
      </c>
      <c r="AA397" s="146" t="s">
        <v>5669</v>
      </c>
      <c r="AB397" s="148" t="s">
        <v>1833</v>
      </c>
      <c r="AC397" s="2" t="s">
        <v>2135</v>
      </c>
      <c r="AD397" s="146" t="s">
        <v>2759</v>
      </c>
      <c r="AE397" s="184" t="str">
        <f>OBRA!Y395</f>
        <v>LIC. SALVADOR CONTRERAS OLGUÍN</v>
      </c>
      <c r="AF397" s="19">
        <v>216</v>
      </c>
      <c r="AG397" s="2" t="s">
        <v>1548</v>
      </c>
      <c r="AH397" s="607">
        <f t="shared" si="23"/>
        <v>347.17925925925925</v>
      </c>
      <c r="AI397" s="2">
        <v>50</v>
      </c>
      <c r="AJ397" s="507"/>
      <c r="AK397" s="507"/>
      <c r="AL397" s="626"/>
      <c r="AM397" s="1546"/>
      <c r="AN397" s="1322" t="s">
        <v>3707</v>
      </c>
      <c r="AO397" s="1322" t="s">
        <v>3707</v>
      </c>
      <c r="AP397" s="1322" t="s">
        <v>3707</v>
      </c>
      <c r="AQ397" s="1322" t="s">
        <v>3707</v>
      </c>
      <c r="AR397" s="1262"/>
      <c r="AS397" s="1321" t="s">
        <v>3707</v>
      </c>
      <c r="AT397" s="1851"/>
      <c r="AU397" s="1851"/>
      <c r="AV397" s="1851"/>
      <c r="AW397" s="1851"/>
      <c r="AX397" s="1851"/>
      <c r="AY397" s="1851"/>
      <c r="AZ397" s="1851"/>
      <c r="BA397" s="1851"/>
      <c r="BB397" s="995"/>
      <c r="BC397" s="995"/>
      <c r="BD397" s="995"/>
      <c r="BE397" s="995"/>
      <c r="BF397" s="995"/>
      <c r="BG397" s="995"/>
      <c r="BH397" s="995"/>
      <c r="BI397" s="33" t="s">
        <v>550</v>
      </c>
      <c r="BJ397" s="12"/>
    </row>
    <row r="398" spans="1:62"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2880</v>
      </c>
      <c r="L398" s="3" t="s">
        <v>4751</v>
      </c>
      <c r="M398" s="3" t="s">
        <v>6322</v>
      </c>
      <c r="N398" s="3" t="s">
        <v>2541</v>
      </c>
      <c r="O398" s="467" t="s">
        <v>3498</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2781</v>
      </c>
      <c r="Z398" s="146" t="str">
        <f>OBRA!X396</f>
        <v>INGENIERÍA ARQUITECTURA MENDPAD S.A. DE C.V.</v>
      </c>
      <c r="AA398" s="146" t="s">
        <v>5669</v>
      </c>
      <c r="AB398" s="148" t="s">
        <v>2158</v>
      </c>
      <c r="AC398" s="148" t="s">
        <v>2140</v>
      </c>
      <c r="AD398" s="146" t="s">
        <v>2763</v>
      </c>
      <c r="AE398" s="184" t="str">
        <f>OBRA!Y396</f>
        <v>LIC. SALVADOR CONTRERAS OLGUÍN</v>
      </c>
      <c r="AF398" s="19">
        <v>265</v>
      </c>
      <c r="AG398" s="2" t="s">
        <v>1548</v>
      </c>
      <c r="AH398" s="607">
        <f t="shared" si="23"/>
        <v>700.98403773584903</v>
      </c>
      <c r="AI398" s="511"/>
      <c r="AJ398" s="514">
        <v>2000</v>
      </c>
      <c r="AK398" s="514"/>
      <c r="AL398" s="1542"/>
      <c r="AM398" s="1543"/>
      <c r="AN398" s="1264" t="s">
        <v>3709</v>
      </c>
      <c r="AO398" s="1247" t="s">
        <v>3709</v>
      </c>
      <c r="AP398" s="1247" t="s">
        <v>3709</v>
      </c>
      <c r="AQ398" s="1301" t="s">
        <v>3709</v>
      </c>
      <c r="AR398" s="1248"/>
      <c r="AS398" s="1321" t="s">
        <v>3709</v>
      </c>
      <c r="AT398" s="1850"/>
      <c r="AU398" s="1850"/>
      <c r="AV398" s="1850"/>
      <c r="AW398" s="1850"/>
      <c r="AX398" s="1850"/>
      <c r="AY398" s="1850"/>
      <c r="AZ398" s="1850"/>
      <c r="BA398" s="1850"/>
      <c r="BB398" s="994"/>
      <c r="BC398" s="994"/>
      <c r="BD398" s="994"/>
      <c r="BE398" s="994"/>
      <c r="BF398" s="994"/>
      <c r="BG398" s="994"/>
      <c r="BH398" s="994"/>
      <c r="BI398" s="33" t="s">
        <v>550</v>
      </c>
      <c r="BJ398" s="12"/>
    </row>
    <row r="399" spans="1:62"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4748</v>
      </c>
      <c r="M399" s="3" t="s">
        <v>6308</v>
      </c>
      <c r="N399" s="3" t="s">
        <v>2527</v>
      </c>
      <c r="O399" s="467" t="s">
        <v>3498</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2782</v>
      </c>
      <c r="Z399" s="146" t="str">
        <f>OBRA!X397</f>
        <v>GALJACK ARQUITECTOS  Y CONSTRUCCIONES S.A. DE C.V.</v>
      </c>
      <c r="AA399" s="146" t="s">
        <v>5669</v>
      </c>
      <c r="AB399" s="148" t="s">
        <v>2160</v>
      </c>
      <c r="AC399" s="148" t="s">
        <v>2161</v>
      </c>
      <c r="AD399" s="146" t="s">
        <v>2770</v>
      </c>
      <c r="AE399" s="184" t="str">
        <f>OBRA!Y397</f>
        <v>LIC. SALVADOR CONTRERAS OLGUÍN</v>
      </c>
      <c r="AF399" s="19">
        <v>75</v>
      </c>
      <c r="AG399" s="2" t="s">
        <v>1450</v>
      </c>
      <c r="AH399" s="607">
        <f t="shared" si="23"/>
        <v>997.53693333333342</v>
      </c>
      <c r="AI399" s="2">
        <v>100</v>
      </c>
      <c r="AJ399" s="507"/>
      <c r="AK399" s="507"/>
      <c r="AL399" s="626"/>
      <c r="AM399" s="1546"/>
      <c r="AN399" s="1264" t="s">
        <v>3710</v>
      </c>
      <c r="AO399" s="1264" t="s">
        <v>3710</v>
      </c>
      <c r="AP399" s="1264" t="s">
        <v>3710</v>
      </c>
      <c r="AQ399" s="1322" t="s">
        <v>3710</v>
      </c>
      <c r="AR399" s="1262"/>
      <c r="AS399" s="1314" t="s">
        <v>3710</v>
      </c>
      <c r="AT399" s="1850"/>
      <c r="AU399" s="1850"/>
      <c r="AV399" s="1850"/>
      <c r="AW399" s="1850"/>
      <c r="AX399" s="1850"/>
      <c r="AY399" s="1850"/>
      <c r="AZ399" s="1850"/>
      <c r="BA399" s="1850"/>
      <c r="BB399" s="994"/>
      <c r="BC399" s="994"/>
      <c r="BD399" s="994"/>
      <c r="BE399" s="994"/>
      <c r="BF399" s="994"/>
      <c r="BG399" s="994"/>
      <c r="BH399" s="994"/>
      <c r="BI399" s="33" t="s">
        <v>550</v>
      </c>
      <c r="BJ399" s="12"/>
    </row>
    <row r="400" spans="1:62"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4750</v>
      </c>
      <c r="M400" s="3" t="s">
        <v>6308</v>
      </c>
      <c r="N400" s="3" t="s">
        <v>2527</v>
      </c>
      <c r="O400" s="467" t="s">
        <v>3498</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2783</v>
      </c>
      <c r="Z400" s="146" t="str">
        <f>OBRA!X398</f>
        <v>GALJACK ARQUITECTOS S.A. DE C.V.</v>
      </c>
      <c r="AA400" s="146" t="s">
        <v>5669</v>
      </c>
      <c r="AB400" s="148" t="s">
        <v>2160</v>
      </c>
      <c r="AC400" s="148" t="s">
        <v>2161</v>
      </c>
      <c r="AD400" s="146" t="s">
        <v>2770</v>
      </c>
      <c r="AE400" s="184" t="str">
        <f>OBRA!Y398</f>
        <v>LIC. SALVADOR CONTRERAS OLGUÍN</v>
      </c>
      <c r="AF400" s="19">
        <v>80</v>
      </c>
      <c r="AG400" s="2" t="s">
        <v>1450</v>
      </c>
      <c r="AH400" s="607">
        <f t="shared" si="23"/>
        <v>1643.9378750000001</v>
      </c>
      <c r="AI400" s="2">
        <v>100</v>
      </c>
      <c r="AJ400" s="507"/>
      <c r="AK400" s="507"/>
      <c r="AL400" s="626"/>
      <c r="AM400" s="1546"/>
      <c r="AN400" s="1264" t="s">
        <v>3711</v>
      </c>
      <c r="AO400" s="1264" t="s">
        <v>3711</v>
      </c>
      <c r="AP400" s="1264" t="s">
        <v>3711</v>
      </c>
      <c r="AQ400" s="1322" t="s">
        <v>3711</v>
      </c>
      <c r="AR400" s="1262"/>
      <c r="AS400" s="1314" t="s">
        <v>3711</v>
      </c>
      <c r="AT400" s="1859"/>
      <c r="AU400" s="1859"/>
      <c r="AV400" s="1859"/>
      <c r="AW400" s="1859"/>
      <c r="AX400" s="1859"/>
      <c r="AY400" s="1859"/>
      <c r="AZ400" s="1859"/>
      <c r="BA400" s="1859"/>
      <c r="BB400" s="1860"/>
      <c r="BC400" s="1860"/>
      <c r="BD400" s="1860"/>
      <c r="BE400" s="1860"/>
      <c r="BF400" s="1860"/>
      <c r="BG400" s="1860"/>
      <c r="BH400" s="1860"/>
      <c r="BI400" s="33" t="s">
        <v>550</v>
      </c>
      <c r="BJ400" s="12"/>
    </row>
    <row r="401" spans="1:63"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6246</v>
      </c>
      <c r="M401" s="3" t="s">
        <v>6306</v>
      </c>
      <c r="N401" s="3" t="s">
        <v>1975</v>
      </c>
      <c r="O401" s="467" t="s">
        <v>3498</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5669</v>
      </c>
      <c r="AB401" s="148" t="s">
        <v>2164</v>
      </c>
      <c r="AC401" s="148" t="s">
        <v>2165</v>
      </c>
      <c r="AD401" s="146" t="s">
        <v>2762</v>
      </c>
      <c r="AE401" s="184" t="str">
        <f>OBRA!Y399</f>
        <v>ING. J. GUADALUPE IBARRA RAMIREZ</v>
      </c>
      <c r="AF401" s="19">
        <v>193.9</v>
      </c>
      <c r="AG401" s="2" t="s">
        <v>1450</v>
      </c>
      <c r="AH401" s="607">
        <f t="shared" si="23"/>
        <v>5146.6249097472919</v>
      </c>
      <c r="AI401" s="2">
        <v>200</v>
      </c>
      <c r="AJ401" s="514">
        <v>5000</v>
      </c>
      <c r="AK401" s="514"/>
      <c r="AL401" s="1542"/>
      <c r="AM401" s="1543"/>
      <c r="AN401" s="1247" t="s">
        <v>3712</v>
      </c>
      <c r="AO401" s="1247" t="s">
        <v>3712</v>
      </c>
      <c r="AP401" s="1247" t="s">
        <v>3712</v>
      </c>
      <c r="AQ401" s="1301" t="s">
        <v>3712</v>
      </c>
      <c r="AR401" s="1248"/>
      <c r="AS401" s="1321" t="s">
        <v>3712</v>
      </c>
      <c r="AT401" s="1871">
        <v>0</v>
      </c>
      <c r="AU401" s="1871"/>
      <c r="AV401" s="1871">
        <f>259593.35*1.16</f>
        <v>301128.28599999996</v>
      </c>
      <c r="AW401" s="1871">
        <v>0</v>
      </c>
      <c r="AX401" s="1871">
        <v>682088.03</v>
      </c>
      <c r="AY401" s="1871">
        <v>0</v>
      </c>
      <c r="AZ401" s="1871">
        <v>0</v>
      </c>
      <c r="BA401" s="1871">
        <v>0</v>
      </c>
      <c r="BB401" s="1161">
        <v>0</v>
      </c>
      <c r="BC401" s="1161"/>
      <c r="BD401" s="1161">
        <v>193.9</v>
      </c>
      <c r="BE401" s="1161">
        <v>0</v>
      </c>
      <c r="BF401" s="1161">
        <v>695.11</v>
      </c>
      <c r="BG401" s="1161">
        <v>0</v>
      </c>
      <c r="BH401" s="1669">
        <v>0</v>
      </c>
      <c r="BI401" s="413" t="s">
        <v>550</v>
      </c>
      <c r="BJ401" s="12"/>
    </row>
    <row r="402" spans="1:63"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6245</v>
      </c>
      <c r="M402" s="3" t="s">
        <v>6307</v>
      </c>
      <c r="N402" s="3" t="s">
        <v>1975</v>
      </c>
      <c r="O402" s="467" t="s">
        <v>3498</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2784</v>
      </c>
      <c r="Z402" s="146" t="str">
        <f>OBRA!X400</f>
        <v>ALSERCON SA DE CV</v>
      </c>
      <c r="AA402" s="146" t="s">
        <v>5669</v>
      </c>
      <c r="AB402" s="148" t="s">
        <v>2164</v>
      </c>
      <c r="AC402" s="148" t="s">
        <v>2165</v>
      </c>
      <c r="AD402" s="146" t="s">
        <v>2762</v>
      </c>
      <c r="AE402" s="184" t="str">
        <f>OBRA!Y400</f>
        <v>ING. J. GUADALUPE IBARRA RAMIREZ</v>
      </c>
      <c r="AF402" s="19">
        <v>203.26</v>
      </c>
      <c r="AG402" s="2" t="s">
        <v>1450</v>
      </c>
      <c r="AH402" s="607">
        <f t="shared" si="23"/>
        <v>4484.3107350191876</v>
      </c>
      <c r="AI402" s="2">
        <v>200</v>
      </c>
      <c r="AJ402" s="514">
        <v>5000</v>
      </c>
      <c r="AK402" s="514"/>
      <c r="AL402" s="1542"/>
      <c r="AM402" s="1543"/>
      <c r="AN402" s="1264" t="s">
        <v>3713</v>
      </c>
      <c r="AO402" s="1247" t="s">
        <v>3713</v>
      </c>
      <c r="AP402" s="1247" t="s">
        <v>3713</v>
      </c>
      <c r="AQ402" s="1301" t="s">
        <v>3713</v>
      </c>
      <c r="AR402" s="1248"/>
      <c r="AS402" s="1321" t="s">
        <v>3713</v>
      </c>
      <c r="AT402" s="1871">
        <f>160271.61*1.16</f>
        <v>185915.06759999998</v>
      </c>
      <c r="AU402" s="1871"/>
      <c r="AV402" s="1871">
        <v>0</v>
      </c>
      <c r="AW402" s="1871">
        <v>0</v>
      </c>
      <c r="AX402" s="1871">
        <v>686833.94</v>
      </c>
      <c r="AY402" s="1871">
        <v>0</v>
      </c>
      <c r="AZ402" s="1871">
        <v>0</v>
      </c>
      <c r="BA402" s="1871">
        <v>0</v>
      </c>
      <c r="BB402" s="1161">
        <v>203.26</v>
      </c>
      <c r="BC402" s="1161"/>
      <c r="BD402" s="1161">
        <v>0</v>
      </c>
      <c r="BE402" s="1161">
        <v>0</v>
      </c>
      <c r="BF402" s="1161">
        <v>695.11</v>
      </c>
      <c r="BG402" s="1161">
        <v>0</v>
      </c>
      <c r="BH402" s="1669">
        <v>0</v>
      </c>
      <c r="BI402" s="413" t="s">
        <v>550</v>
      </c>
      <c r="BJ402" s="12"/>
    </row>
    <row r="403" spans="1:63"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4750</v>
      </c>
      <c r="M403" s="3" t="s">
        <v>6309</v>
      </c>
      <c r="N403" s="3" t="s">
        <v>2527</v>
      </c>
      <c r="O403" s="467" t="s">
        <v>3498</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2785</v>
      </c>
      <c r="Z403" s="146" t="str">
        <f>OBRA!X401</f>
        <v>INGENIERÍA ARQUITECTURA MENDPAD S.A. DE C.V.</v>
      </c>
      <c r="AA403" s="146" t="s">
        <v>5669</v>
      </c>
      <c r="AB403" s="148" t="s">
        <v>2158</v>
      </c>
      <c r="AC403" s="148" t="s">
        <v>2140</v>
      </c>
      <c r="AD403" s="146" t="s">
        <v>2763</v>
      </c>
      <c r="AE403" s="184" t="str">
        <f>OBRA!Y401</f>
        <v>LIC. SALVADOR CONTRERAS OLGUÍN</v>
      </c>
      <c r="AF403" s="19">
        <v>50</v>
      </c>
      <c r="AG403" s="2" t="s">
        <v>1450</v>
      </c>
      <c r="AH403" s="607">
        <f t="shared" si="23"/>
        <v>1994.1579999999999</v>
      </c>
      <c r="AI403" s="2">
        <v>80</v>
      </c>
      <c r="AJ403" s="514">
        <v>80</v>
      </c>
      <c r="AK403" s="514"/>
      <c r="AL403" s="1542"/>
      <c r="AM403" s="1543"/>
      <c r="AN403" s="1301" t="s">
        <v>3714</v>
      </c>
      <c r="AO403" s="1285" t="s">
        <v>3714</v>
      </c>
      <c r="AP403" s="1285" t="s">
        <v>3714</v>
      </c>
      <c r="AQ403" s="1285" t="s">
        <v>3714</v>
      </c>
      <c r="AR403" s="1263"/>
      <c r="AS403" s="1321" t="s">
        <v>3714</v>
      </c>
      <c r="AT403" s="1865"/>
      <c r="AU403" s="1865"/>
      <c r="AV403" s="1865"/>
      <c r="AW403" s="1865"/>
      <c r="AX403" s="1865"/>
      <c r="AY403" s="1865"/>
      <c r="AZ403" s="1865"/>
      <c r="BA403" s="1865"/>
      <c r="BB403" s="1866"/>
      <c r="BC403" s="1866"/>
      <c r="BD403" s="1866"/>
      <c r="BE403" s="1866"/>
      <c r="BF403" s="1866"/>
      <c r="BG403" s="1866"/>
      <c r="BH403" s="1866"/>
      <c r="BI403" s="33" t="s">
        <v>550</v>
      </c>
      <c r="BJ403" s="12"/>
    </row>
    <row r="404" spans="1:63"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4748</v>
      </c>
      <c r="M404" s="173" t="s">
        <v>6309</v>
      </c>
      <c r="N404" s="173" t="s">
        <v>2527</v>
      </c>
      <c r="O404" s="467" t="s">
        <v>3498</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2786</v>
      </c>
      <c r="Z404" s="146" t="s">
        <v>1301</v>
      </c>
      <c r="AA404" s="146" t="s">
        <v>5669</v>
      </c>
      <c r="AB404" s="148" t="s">
        <v>2158</v>
      </c>
      <c r="AC404" s="148" t="s">
        <v>2140</v>
      </c>
      <c r="AD404" s="146" t="s">
        <v>2763</v>
      </c>
      <c r="AE404" s="184" t="str">
        <f>OBRA!Y402</f>
        <v>LIC. SALVADOR CONTRERAS OLGUÍN</v>
      </c>
      <c r="AF404" s="19">
        <v>107.47</v>
      </c>
      <c r="AG404" s="2" t="s">
        <v>1450</v>
      </c>
      <c r="AH404" s="607">
        <f t="shared" si="23"/>
        <v>1217.7858006885642</v>
      </c>
      <c r="AI404" s="2">
        <v>80</v>
      </c>
      <c r="AJ404" s="514">
        <v>80</v>
      </c>
      <c r="AK404" s="514"/>
      <c r="AL404" s="1542"/>
      <c r="AM404" s="1543"/>
      <c r="AN404" s="1301" t="s">
        <v>3714</v>
      </c>
      <c r="AO404" s="1285" t="s">
        <v>3714</v>
      </c>
      <c r="AP404" s="1285" t="s">
        <v>3714</v>
      </c>
      <c r="AQ404" s="1285" t="s">
        <v>3714</v>
      </c>
      <c r="AR404" s="1263"/>
      <c r="AS404" s="1321" t="s">
        <v>3714</v>
      </c>
      <c r="AT404" s="1850"/>
      <c r="AU404" s="1850"/>
      <c r="AV404" s="1850"/>
      <c r="AW404" s="1850"/>
      <c r="AX404" s="1850"/>
      <c r="AY404" s="1850"/>
      <c r="AZ404" s="1850"/>
      <c r="BA404" s="1850"/>
      <c r="BB404" s="994"/>
      <c r="BC404" s="994"/>
      <c r="BD404" s="994"/>
      <c r="BE404" s="994"/>
      <c r="BF404" s="994"/>
      <c r="BG404" s="994"/>
      <c r="BH404" s="994"/>
      <c r="BI404" s="33" t="s">
        <v>550</v>
      </c>
      <c r="BJ404" s="12"/>
    </row>
    <row r="405" spans="1:63"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4748</v>
      </c>
      <c r="M405" s="173" t="s">
        <v>6310</v>
      </c>
      <c r="N405" s="173" t="s">
        <v>2527</v>
      </c>
      <c r="O405" s="467" t="s">
        <v>3498</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2787</v>
      </c>
      <c r="Z405" s="146" t="str">
        <f>OBRA!X403</f>
        <v>INGENIERÍA ARQUITECTURA MENDPAD S.A. DE C.V.</v>
      </c>
      <c r="AA405" s="146" t="s">
        <v>5669</v>
      </c>
      <c r="AB405" s="148" t="s">
        <v>2158</v>
      </c>
      <c r="AC405" s="148" t="s">
        <v>2140</v>
      </c>
      <c r="AD405" s="146" t="s">
        <v>2763</v>
      </c>
      <c r="AE405" s="184" t="str">
        <f>OBRA!Y403</f>
        <v>LIC. SALVADOR CONTRERAS OLGUÍN</v>
      </c>
      <c r="AF405" s="19">
        <v>119</v>
      </c>
      <c r="AG405" s="2" t="s">
        <v>1450</v>
      </c>
      <c r="AH405" s="607">
        <f t="shared" si="23"/>
        <v>881.86554621848734</v>
      </c>
      <c r="AI405" s="2">
        <v>60</v>
      </c>
      <c r="AJ405" s="514">
        <v>60</v>
      </c>
      <c r="AK405" s="514"/>
      <c r="AL405" s="1542"/>
      <c r="AM405" s="1543"/>
      <c r="AN405" s="1322" t="s">
        <v>3715</v>
      </c>
      <c r="AO405" s="1313" t="s">
        <v>3715</v>
      </c>
      <c r="AP405" s="1313" t="s">
        <v>3715</v>
      </c>
      <c r="AQ405" s="1313" t="s">
        <v>3715</v>
      </c>
      <c r="AR405" s="1945"/>
      <c r="AS405" s="1314" t="s">
        <v>3715</v>
      </c>
      <c r="AT405" s="1851"/>
      <c r="AU405" s="1851"/>
      <c r="AV405" s="1851"/>
      <c r="AW405" s="1851"/>
      <c r="AX405" s="1851"/>
      <c r="AY405" s="1851"/>
      <c r="AZ405" s="1851"/>
      <c r="BA405" s="1851"/>
      <c r="BB405" s="995"/>
      <c r="BC405" s="995"/>
      <c r="BD405" s="995"/>
      <c r="BE405" s="995"/>
      <c r="BF405" s="995"/>
      <c r="BG405" s="995"/>
      <c r="BH405" s="995"/>
      <c r="BI405" s="33" t="s">
        <v>550</v>
      </c>
      <c r="BJ405" s="12"/>
    </row>
    <row r="406" spans="1:63"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4750</v>
      </c>
      <c r="M406" s="173" t="s">
        <v>6310</v>
      </c>
      <c r="N406" s="173" t="s">
        <v>2527</v>
      </c>
      <c r="O406" s="467" t="s">
        <v>3499</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2788</v>
      </c>
      <c r="Z406" s="146" t="str">
        <f>OBRA!X404</f>
        <v>INGENIERÍA ARQUITECTURA MENDPAD S.A. DE C.V.</v>
      </c>
      <c r="AA406" s="146" t="s">
        <v>5669</v>
      </c>
      <c r="AB406" s="148" t="s">
        <v>2158</v>
      </c>
      <c r="AC406" s="148" t="s">
        <v>2140</v>
      </c>
      <c r="AD406" s="146" t="s">
        <v>2763</v>
      </c>
      <c r="AE406" s="184" t="str">
        <f>OBRA!Y404</f>
        <v>LIC. SALVADOR CONTRERAS OLGUÍN</v>
      </c>
      <c r="AF406" s="19">
        <v>105</v>
      </c>
      <c r="AG406" s="2" t="s">
        <v>1450</v>
      </c>
      <c r="AH406" s="607">
        <f t="shared" si="23"/>
        <v>1264.8637142857142</v>
      </c>
      <c r="AI406" s="2">
        <v>60</v>
      </c>
      <c r="AJ406" s="514">
        <v>60</v>
      </c>
      <c r="AK406" s="514"/>
      <c r="AL406" s="1542"/>
      <c r="AM406" s="1543"/>
      <c r="AN406" s="1322" t="s">
        <v>3716</v>
      </c>
      <c r="AO406" s="1313" t="s">
        <v>3716</v>
      </c>
      <c r="AP406" s="1313" t="s">
        <v>3716</v>
      </c>
      <c r="AQ406" s="1313" t="s">
        <v>3716</v>
      </c>
      <c r="AR406" s="1945"/>
      <c r="AS406" s="1314" t="s">
        <v>3716</v>
      </c>
      <c r="AT406" s="1852"/>
      <c r="AU406" s="1852"/>
      <c r="AV406" s="1852"/>
      <c r="AW406" s="1852"/>
      <c r="AX406" s="1852"/>
      <c r="AY406" s="1852"/>
      <c r="AZ406" s="1852"/>
      <c r="BA406" s="1852"/>
      <c r="BB406" s="507"/>
      <c r="BC406" s="507"/>
      <c r="BD406" s="507"/>
      <c r="BE406" s="507"/>
      <c r="BF406" s="507"/>
      <c r="BG406" s="507"/>
      <c r="BH406" s="507"/>
      <c r="BI406" s="33" t="s">
        <v>550</v>
      </c>
      <c r="BJ406" s="12"/>
    </row>
    <row r="407" spans="1:63"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5668</v>
      </c>
      <c r="AB407" s="149" t="str">
        <f>Z407</f>
        <v>C. PAUL ANTONIO VENEGAS GARCÍA</v>
      </c>
      <c r="AC407" s="85" t="s">
        <v>2962</v>
      </c>
      <c r="AD407" s="147" t="s">
        <v>2962</v>
      </c>
      <c r="AE407" s="185" t="str">
        <f>OBRA!Y405</f>
        <v>ARQ. JAIME CONDE GOMEZ</v>
      </c>
      <c r="AF407" s="84">
        <v>1</v>
      </c>
      <c r="AG407" s="85" t="s">
        <v>1573</v>
      </c>
      <c r="AH407" s="185">
        <f t="shared" si="23"/>
        <v>0</v>
      </c>
      <c r="AI407" s="85"/>
      <c r="AJ407" s="515"/>
      <c r="AK407" s="515"/>
      <c r="AL407" s="1544"/>
      <c r="AM407" s="1545"/>
      <c r="AN407" s="565"/>
      <c r="AO407" s="821" t="s">
        <v>67</v>
      </c>
      <c r="AP407" s="821" t="s">
        <v>67</v>
      </c>
      <c r="AQ407" s="422" t="s">
        <v>67</v>
      </c>
      <c r="AR407" s="515"/>
      <c r="AS407" s="83" t="s">
        <v>67</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OBRA!K406</f>
        <v>2019</v>
      </c>
      <c r="B408" s="781" t="s">
        <v>2094</v>
      </c>
      <c r="C408" s="781">
        <v>196.23</v>
      </c>
      <c r="D408" s="781"/>
      <c r="E408" s="2" t="str">
        <f>OBRA!N406</f>
        <v>RASTRO DIGNO / CTA-CTE</v>
      </c>
      <c r="F408" s="597" t="s">
        <v>3708</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4303</v>
      </c>
      <c r="L408" s="1348" t="s">
        <v>6242</v>
      </c>
      <c r="M408" s="3" t="s">
        <v>2002</v>
      </c>
      <c r="N408" s="3" t="s">
        <v>1975</v>
      </c>
      <c r="O408" s="467" t="s">
        <v>3499</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2800</v>
      </c>
      <c r="Z408" s="146" t="str">
        <f>OBRA!X406</f>
        <v>SDT CONSTRUCTORA S.A. DE C.V.</v>
      </c>
      <c r="AA408" s="146" t="s">
        <v>5669</v>
      </c>
      <c r="AB408" s="148" t="s">
        <v>2170</v>
      </c>
      <c r="AC408" s="2" t="s">
        <v>2171</v>
      </c>
      <c r="AD408" s="146" t="s">
        <v>2760</v>
      </c>
      <c r="AE408" s="184" t="str">
        <f>OBRA!Y406</f>
        <v>ARQ. JAIME CONDE GOMEZ</v>
      </c>
      <c r="AF408" s="19">
        <v>731.62</v>
      </c>
      <c r="AG408" s="2" t="s">
        <v>1548</v>
      </c>
      <c r="AH408" s="607">
        <f t="shared" si="23"/>
        <v>1905.2301194609222</v>
      </c>
      <c r="AI408" s="2">
        <v>2000</v>
      </c>
      <c r="AJ408" s="514">
        <v>48500</v>
      </c>
      <c r="AK408" s="514"/>
      <c r="AL408" s="1573">
        <v>20.27947</v>
      </c>
      <c r="AM408" s="1574">
        <v>103.44511</v>
      </c>
      <c r="AN408" s="1301" t="s">
        <v>3717</v>
      </c>
      <c r="AO408" s="1285" t="s">
        <v>3717</v>
      </c>
      <c r="AP408" s="1285" t="s">
        <v>3717</v>
      </c>
      <c r="AQ408" s="1285" t="s">
        <v>3717</v>
      </c>
      <c r="AR408" s="1263"/>
      <c r="AS408" s="1314" t="s">
        <v>3717</v>
      </c>
      <c r="AT408" s="1853"/>
      <c r="AU408" s="1853"/>
      <c r="AV408" s="1853"/>
      <c r="AW408" s="1853"/>
      <c r="AX408" s="1853"/>
      <c r="AY408" s="1853"/>
      <c r="AZ408" s="1853"/>
      <c r="BA408" s="1853"/>
      <c r="BB408" s="514"/>
      <c r="BC408" s="514"/>
      <c r="BD408" s="514"/>
      <c r="BE408" s="514"/>
      <c r="BF408" s="514"/>
      <c r="BG408" s="514"/>
      <c r="BH408" s="514"/>
      <c r="BI408" s="33" t="s">
        <v>550</v>
      </c>
      <c r="BJ408" s="12"/>
      <c r="BK408">
        <v>100</v>
      </c>
    </row>
    <row r="409" spans="1:63" ht="72" hidden="1" customHeight="1">
      <c r="A409" s="16">
        <f>OBRA!K407</f>
        <v>2019</v>
      </c>
      <c r="B409" s="781" t="s">
        <v>2094</v>
      </c>
      <c r="C409" s="781">
        <v>196.24</v>
      </c>
      <c r="D409" s="1476" t="s">
        <v>4024</v>
      </c>
      <c r="E409" s="2" t="str">
        <f>OBRA!N407</f>
        <v>RASTRO DIGNO / CTA-CTE</v>
      </c>
      <c r="F409" s="597" t="s">
        <v>3708</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6242</v>
      </c>
      <c r="M409" s="3" t="s">
        <v>2002</v>
      </c>
      <c r="N409" s="3" t="s">
        <v>1975</v>
      </c>
      <c r="O409" s="467" t="s">
        <v>3499</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2789</v>
      </c>
      <c r="Z409" s="146" t="str">
        <f>OBRA!X407</f>
        <v>DACO, DESARROLLOS ARQUITECTÓNICOS Y CONSTRUCCIÓN OBRA CIVIL S.A. DE C.V.</v>
      </c>
      <c r="AA409" s="146" t="s">
        <v>5669</v>
      </c>
      <c r="AB409" s="148" t="s">
        <v>2172</v>
      </c>
      <c r="AC409" s="148" t="s">
        <v>2173</v>
      </c>
      <c r="AD409" s="146" t="s">
        <v>2764</v>
      </c>
      <c r="AE409" s="184" t="str">
        <f>OBRA!Y407</f>
        <v>ARQ. JAIME CONDE GOMEZ</v>
      </c>
      <c r="AF409" s="19">
        <v>276.38</v>
      </c>
      <c r="AG409" s="2" t="s">
        <v>1548</v>
      </c>
      <c r="AH409" s="607">
        <f t="shared" si="23"/>
        <v>5116.9733699978296</v>
      </c>
      <c r="AI409" s="2">
        <v>2000</v>
      </c>
      <c r="AJ409" s="514">
        <v>48500</v>
      </c>
      <c r="AK409" s="514"/>
      <c r="AL409" s="1542"/>
      <c r="AM409" s="1543"/>
      <c r="AN409" s="1301" t="s">
        <v>3718</v>
      </c>
      <c r="AO409" s="1285" t="s">
        <v>3718</v>
      </c>
      <c r="AP409" s="1285" t="s">
        <v>3718</v>
      </c>
      <c r="AQ409" s="1285" t="s">
        <v>3718</v>
      </c>
      <c r="AR409" s="1263"/>
      <c r="AS409" s="1314" t="s">
        <v>3718</v>
      </c>
      <c r="AT409" s="1853"/>
      <c r="AU409" s="1853"/>
      <c r="AV409" s="1853"/>
      <c r="AW409" s="1853"/>
      <c r="AX409" s="1853"/>
      <c r="AY409" s="1853"/>
      <c r="AZ409" s="1853"/>
      <c r="BA409" s="1853"/>
      <c r="BB409" s="514"/>
      <c r="BC409" s="514"/>
      <c r="BD409" s="514"/>
      <c r="BE409" s="514"/>
      <c r="BF409" s="514"/>
      <c r="BG409" s="514"/>
      <c r="BH409" s="514"/>
      <c r="BI409" s="33" t="s">
        <v>550</v>
      </c>
      <c r="BJ409" s="12"/>
      <c r="BK409">
        <v>100</v>
      </c>
    </row>
    <row r="410" spans="1:63"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4750</v>
      </c>
      <c r="M410" s="3" t="s">
        <v>6297</v>
      </c>
      <c r="N410" s="3" t="s">
        <v>1975</v>
      </c>
      <c r="O410" s="467" t="s">
        <v>3499</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2791</v>
      </c>
      <c r="Z410" s="146" t="str">
        <f>OBRA!X408</f>
        <v>AV ATELIER DE ARQUITECTURA S.A. DE C.V.</v>
      </c>
      <c r="AA410" s="146" t="s">
        <v>5669</v>
      </c>
      <c r="AB410" s="148" t="s">
        <v>2174</v>
      </c>
      <c r="AC410" s="148" t="s">
        <v>2175</v>
      </c>
      <c r="AD410" s="146" t="s">
        <v>2761</v>
      </c>
      <c r="AE410" s="184" t="str">
        <f>OBRA!Y408</f>
        <v>LIC. SALVADOR CONTRERAS OLGUÍN</v>
      </c>
      <c r="AF410" s="19">
        <v>131</v>
      </c>
      <c r="AG410" s="2" t="s">
        <v>1450</v>
      </c>
      <c r="AH410" s="607">
        <f t="shared" si="23"/>
        <v>1416.0334351145038</v>
      </c>
      <c r="AI410" s="2">
        <v>200</v>
      </c>
      <c r="AJ410" s="514">
        <v>200</v>
      </c>
      <c r="AK410" s="514"/>
      <c r="AL410" s="1542"/>
      <c r="AM410" s="1543"/>
      <c r="AN410" s="1322" t="s">
        <v>3719</v>
      </c>
      <c r="AO410" s="1322" t="s">
        <v>3719</v>
      </c>
      <c r="AP410" s="1301" t="s">
        <v>3719</v>
      </c>
      <c r="AQ410" s="1301" t="s">
        <v>3719</v>
      </c>
      <c r="AR410" s="1248"/>
      <c r="AS410" s="1321" t="s">
        <v>3719</v>
      </c>
      <c r="AT410" s="1852"/>
      <c r="AU410" s="1852"/>
      <c r="AV410" s="1852"/>
      <c r="AW410" s="1852"/>
      <c r="AX410" s="1852"/>
      <c r="AY410" s="1852"/>
      <c r="AZ410" s="1852"/>
      <c r="BA410" s="1852"/>
      <c r="BB410" s="507"/>
      <c r="BC410" s="507"/>
      <c r="BD410" s="507"/>
      <c r="BE410" s="507"/>
      <c r="BF410" s="507"/>
      <c r="BG410" s="507"/>
      <c r="BH410" s="507"/>
      <c r="BI410" s="33" t="s">
        <v>550</v>
      </c>
      <c r="BJ410" s="12"/>
    </row>
    <row r="411" spans="1:63"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4748</v>
      </c>
      <c r="M411" s="3" t="s">
        <v>6297</v>
      </c>
      <c r="N411" s="3" t="s">
        <v>1975</v>
      </c>
      <c r="O411" s="467" t="s">
        <v>3499</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2792</v>
      </c>
      <c r="Z411" s="146" t="str">
        <f>OBRA!X409</f>
        <v>AV ATELIER DE ARQUITECTURA S.A. DE C.V.</v>
      </c>
      <c r="AA411" s="146" t="s">
        <v>5669</v>
      </c>
      <c r="AB411" s="148" t="s">
        <v>2174</v>
      </c>
      <c r="AC411" s="148" t="s">
        <v>2175</v>
      </c>
      <c r="AD411" s="146" t="s">
        <v>2761</v>
      </c>
      <c r="AE411" s="184" t="str">
        <f>OBRA!Y409</f>
        <v>LIC. SALVADOR CONTRERAS OLGUÍN</v>
      </c>
      <c r="AF411" s="19">
        <v>121.65</v>
      </c>
      <c r="AG411" s="2" t="s">
        <v>1450</v>
      </c>
      <c r="AH411" s="607">
        <f t="shared" si="23"/>
        <v>1153.0973284011509</v>
      </c>
      <c r="AI411" s="2">
        <v>200</v>
      </c>
      <c r="AJ411" s="514">
        <v>200</v>
      </c>
      <c r="AK411" s="514"/>
      <c r="AL411" s="1542"/>
      <c r="AM411" s="1543"/>
      <c r="AN411" s="1322" t="s">
        <v>3720</v>
      </c>
      <c r="AO411" s="1322" t="s">
        <v>3720</v>
      </c>
      <c r="AP411" s="1301" t="s">
        <v>3720</v>
      </c>
      <c r="AQ411" s="1322" t="s">
        <v>3720</v>
      </c>
      <c r="AR411" s="1262"/>
      <c r="AS411" s="1321" t="s">
        <v>3720</v>
      </c>
      <c r="AT411" s="1852"/>
      <c r="AU411" s="1852"/>
      <c r="AV411" s="1852"/>
      <c r="AW411" s="1852"/>
      <c r="AX411" s="1852"/>
      <c r="AY411" s="1852"/>
      <c r="AZ411" s="1852"/>
      <c r="BA411" s="1852"/>
      <c r="BB411" s="507"/>
      <c r="BC411" s="507"/>
      <c r="BD411" s="507"/>
      <c r="BE411" s="507"/>
      <c r="BF411" s="507"/>
      <c r="BG411" s="507"/>
      <c r="BH411" s="507"/>
      <c r="BI411" s="33" t="s">
        <v>550</v>
      </c>
      <c r="BJ411" s="12"/>
    </row>
    <row r="412" spans="1:63"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4755</v>
      </c>
      <c r="M412" s="3" t="s">
        <v>6297</v>
      </c>
      <c r="N412" s="3" t="s">
        <v>1975</v>
      </c>
      <c r="O412" s="467" t="s">
        <v>3499</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2790</v>
      </c>
      <c r="Z412" s="146" t="str">
        <f>OBRA!X410</f>
        <v>AV ATELIER DE ARQUITECTURA S.A. DE C.V.</v>
      </c>
      <c r="AA412" s="146" t="s">
        <v>5669</v>
      </c>
      <c r="AB412" s="148" t="s">
        <v>2174</v>
      </c>
      <c r="AC412" s="148" t="s">
        <v>2175</v>
      </c>
      <c r="AD412" s="146" t="s">
        <v>2761</v>
      </c>
      <c r="AE412" s="184" t="str">
        <f>OBRA!Y410</f>
        <v>LIC. SALVADOR CONTRERAS OLGUÍN</v>
      </c>
      <c r="AF412" s="19">
        <v>1301.04</v>
      </c>
      <c r="AG412" s="2" t="s">
        <v>1548</v>
      </c>
      <c r="AH412" s="607">
        <f t="shared" si="23"/>
        <v>635.00910041197812</v>
      </c>
      <c r="AI412" s="2">
        <v>200</v>
      </c>
      <c r="AJ412" s="514">
        <v>5000</v>
      </c>
      <c r="AK412" s="514"/>
      <c r="AL412" s="1542"/>
      <c r="AM412" s="1543"/>
      <c r="AN412" s="1301" t="s">
        <v>3721</v>
      </c>
      <c r="AO412" s="1285" t="s">
        <v>3721</v>
      </c>
      <c r="AP412" s="1285" t="s">
        <v>3721</v>
      </c>
      <c r="AQ412" s="1285" t="s">
        <v>3721</v>
      </c>
      <c r="AR412" s="1949"/>
      <c r="AS412" s="1327" t="s">
        <v>3721</v>
      </c>
      <c r="AT412" s="1852"/>
      <c r="AU412" s="1852"/>
      <c r="AV412" s="1852"/>
      <c r="AW412" s="1852"/>
      <c r="AX412" s="1852"/>
      <c r="AY412" s="1852"/>
      <c r="AZ412" s="1852"/>
      <c r="BA412" s="1852"/>
      <c r="BB412" s="507"/>
      <c r="BC412" s="507"/>
      <c r="BD412" s="507"/>
      <c r="BE412" s="507"/>
      <c r="BF412" s="507"/>
      <c r="BG412" s="507"/>
      <c r="BH412" s="507"/>
      <c r="BI412" s="33" t="s">
        <v>550</v>
      </c>
      <c r="BJ412" s="12"/>
    </row>
    <row r="413" spans="1:63"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4750</v>
      </c>
      <c r="M413" s="173" t="s">
        <v>6292</v>
      </c>
      <c r="N413" s="3" t="s">
        <v>1975</v>
      </c>
      <c r="O413" s="467" t="s">
        <v>3499</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2793</v>
      </c>
      <c r="Z413" s="146" t="str">
        <f>OBRA!X411</f>
        <v>GRUPO CONSTRUCTOR HORUS, S.A. DE C.V.</v>
      </c>
      <c r="AA413" s="146" t="s">
        <v>5669</v>
      </c>
      <c r="AB413" s="148" t="s">
        <v>2179</v>
      </c>
      <c r="AC413" s="148" t="s">
        <v>2180</v>
      </c>
      <c r="AD413" s="146" t="s">
        <v>2767</v>
      </c>
      <c r="AE413" s="184" t="str">
        <f>OBRA!Y411</f>
        <v>ING. J. GUADALUPE IBARRA RAMIREZ</v>
      </c>
      <c r="AF413" s="19">
        <v>156</v>
      </c>
      <c r="AG413" s="2" t="s">
        <v>1450</v>
      </c>
      <c r="AH413" s="607">
        <f t="shared" si="23"/>
        <v>1897.1373076923076</v>
      </c>
      <c r="AI413" s="2">
        <v>100</v>
      </c>
      <c r="AJ413" s="514">
        <v>5000</v>
      </c>
      <c r="AK413" s="514"/>
      <c r="AL413" s="1542"/>
      <c r="AM413" s="1543"/>
      <c r="AN413" s="1301" t="s">
        <v>3722</v>
      </c>
      <c r="AO413" s="1285" t="s">
        <v>3722</v>
      </c>
      <c r="AP413" s="1326" t="s">
        <v>3722</v>
      </c>
      <c r="AQ413" s="1285" t="s">
        <v>3722</v>
      </c>
      <c r="AR413" s="1263"/>
      <c r="AS413" s="1321" t="s">
        <v>3722</v>
      </c>
      <c r="AT413" s="1852"/>
      <c r="AU413" s="1852"/>
      <c r="AV413" s="1852"/>
      <c r="AW413" s="1852"/>
      <c r="AX413" s="1852"/>
      <c r="AY413" s="1852"/>
      <c r="AZ413" s="1852"/>
      <c r="BA413" s="1852"/>
      <c r="BB413" s="507"/>
      <c r="BC413" s="507"/>
      <c r="BD413" s="507"/>
      <c r="BE413" s="507"/>
      <c r="BF413" s="507"/>
      <c r="BG413" s="507"/>
      <c r="BH413" s="507"/>
      <c r="BI413" s="33" t="s">
        <v>550</v>
      </c>
      <c r="BJ413" s="12"/>
    </row>
    <row r="414" spans="1:63"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4748</v>
      </c>
      <c r="M414" s="173" t="s">
        <v>6292</v>
      </c>
      <c r="N414" s="3" t="s">
        <v>1975</v>
      </c>
      <c r="O414" s="467" t="s">
        <v>3499</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2794</v>
      </c>
      <c r="Z414" s="146" t="str">
        <f>OBRA!X412</f>
        <v>GRUPO CONSTRUCTOR HORUS, S.A. DE C.V.</v>
      </c>
      <c r="AA414" s="146" t="s">
        <v>5669</v>
      </c>
      <c r="AB414" s="148" t="s">
        <v>2179</v>
      </c>
      <c r="AC414" s="148" t="s">
        <v>2180</v>
      </c>
      <c r="AD414" s="146" t="s">
        <v>2767</v>
      </c>
      <c r="AE414" s="184" t="str">
        <f>OBRA!Y412</f>
        <v>ING. J. GUADALUPE IBARRA RAMIREZ</v>
      </c>
      <c r="AF414" s="19">
        <v>156</v>
      </c>
      <c r="AG414" s="2" t="s">
        <v>1450</v>
      </c>
      <c r="AH414" s="607">
        <f t="shared" si="23"/>
        <v>672.25769230769231</v>
      </c>
      <c r="AI414" s="2">
        <v>100</v>
      </c>
      <c r="AJ414" s="514">
        <v>5000</v>
      </c>
      <c r="AK414" s="514"/>
      <c r="AL414" s="1542"/>
      <c r="AM414" s="1543"/>
      <c r="AN414" s="1301" t="s">
        <v>3723</v>
      </c>
      <c r="AO414" s="1285" t="s">
        <v>3723</v>
      </c>
      <c r="AP414" s="1313" t="s">
        <v>3723</v>
      </c>
      <c r="AQ414" s="1285" t="s">
        <v>3723</v>
      </c>
      <c r="AR414" s="1263"/>
      <c r="AS414" s="1321" t="s">
        <v>3723</v>
      </c>
      <c r="AT414" s="1852"/>
      <c r="AU414" s="1852"/>
      <c r="AV414" s="1852"/>
      <c r="AW414" s="1852"/>
      <c r="AX414" s="1852"/>
      <c r="AY414" s="1852"/>
      <c r="AZ414" s="1852"/>
      <c r="BA414" s="1852"/>
      <c r="BB414" s="507"/>
      <c r="BC414" s="507"/>
      <c r="BD414" s="507"/>
      <c r="BE414" s="507"/>
      <c r="BF414" s="507"/>
      <c r="BG414" s="507"/>
      <c r="BH414" s="507"/>
      <c r="BI414" s="33" t="s">
        <v>550</v>
      </c>
      <c r="BJ414" s="12"/>
    </row>
    <row r="415" spans="1:63"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4755</v>
      </c>
      <c r="M415" s="173" t="s">
        <v>6292</v>
      </c>
      <c r="N415" s="3" t="s">
        <v>1975</v>
      </c>
      <c r="O415" s="467" t="s">
        <v>3499</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2795</v>
      </c>
      <c r="Z415" s="146" t="str">
        <f>OBRA!X413</f>
        <v>GRUPO CONSTRUCTOR HORUS, S.A. DE C.V.</v>
      </c>
      <c r="AA415" s="146" t="s">
        <v>5669</v>
      </c>
      <c r="AB415" s="148" t="s">
        <v>2179</v>
      </c>
      <c r="AC415" s="148" t="s">
        <v>2180</v>
      </c>
      <c r="AD415" s="146" t="s">
        <v>2767</v>
      </c>
      <c r="AE415" s="184" t="str">
        <f>OBRA!Y413</f>
        <v>ING. J. GUADALUPE IBARRA RAMIREZ</v>
      </c>
      <c r="AF415" s="19">
        <v>984</v>
      </c>
      <c r="AG415" s="2" t="s">
        <v>1548</v>
      </c>
      <c r="AH415" s="607">
        <f t="shared" si="23"/>
        <v>757.86860772357716</v>
      </c>
      <c r="AI415" s="2">
        <v>100</v>
      </c>
      <c r="AJ415" s="514">
        <v>5000</v>
      </c>
      <c r="AK415" s="514"/>
      <c r="AL415" s="1551">
        <v>20.292999999999999</v>
      </c>
      <c r="AM415" s="1552">
        <v>103.437515</v>
      </c>
      <c r="AN415" s="1247" t="s">
        <v>3843</v>
      </c>
      <c r="AO415" s="1247" t="s">
        <v>3843</v>
      </c>
      <c r="AP415" s="1247" t="s">
        <v>3843</v>
      </c>
      <c r="AQ415" s="1301" t="s">
        <v>3843</v>
      </c>
      <c r="AR415" s="1248"/>
      <c r="AS415" s="1321" t="s">
        <v>3843</v>
      </c>
      <c r="AT415" s="1852"/>
      <c r="AU415" s="1852"/>
      <c r="AV415" s="1852"/>
      <c r="AW415" s="1852"/>
      <c r="AX415" s="1852"/>
      <c r="AY415" s="1852"/>
      <c r="AZ415" s="1852"/>
      <c r="BA415" s="1852"/>
      <c r="BB415" s="507"/>
      <c r="BC415" s="507"/>
      <c r="BD415" s="507"/>
      <c r="BE415" s="507"/>
      <c r="BF415" s="507"/>
      <c r="BG415" s="507"/>
      <c r="BH415" s="507"/>
      <c r="BI415" s="33" t="s">
        <v>550</v>
      </c>
      <c r="BJ415" s="12"/>
    </row>
    <row r="416" spans="1:63"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2880</v>
      </c>
      <c r="L416" s="3" t="s">
        <v>4751</v>
      </c>
      <c r="M416" s="3" t="s">
        <v>6323</v>
      </c>
      <c r="N416" s="3" t="s">
        <v>2541</v>
      </c>
      <c r="O416" s="467" t="s">
        <v>3500</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2796</v>
      </c>
      <c r="Z416" s="146" t="str">
        <f>OBRA!X414</f>
        <v>CONSTRUCTORA PIMONT S.A. DE C.V.</v>
      </c>
      <c r="AA416" s="146" t="s">
        <v>5669</v>
      </c>
      <c r="AB416" s="148" t="s">
        <v>1833</v>
      </c>
      <c r="AC416" s="148" t="s">
        <v>2135</v>
      </c>
      <c r="AD416" s="146" t="s">
        <v>2759</v>
      </c>
      <c r="AE416" s="184" t="str">
        <f>OBRA!Y414</f>
        <v>LIC. SALVADOR CONTRERAS OLGUÍN</v>
      </c>
      <c r="AF416" s="19">
        <v>71.27</v>
      </c>
      <c r="AG416" s="2" t="s">
        <v>1548</v>
      </c>
      <c r="AH416" s="607">
        <f t="shared" si="23"/>
        <v>4453.3886628314867</v>
      </c>
      <c r="AI416" s="2">
        <v>2000</v>
      </c>
      <c r="AJ416" s="514">
        <v>2000</v>
      </c>
      <c r="AK416" s="514"/>
      <c r="AL416" s="1542"/>
      <c r="AM416" s="1543"/>
      <c r="AN416" s="1322" t="s">
        <v>3724</v>
      </c>
      <c r="AO416" s="1322" t="s">
        <v>3724</v>
      </c>
      <c r="AP416" s="1301" t="s">
        <v>3724</v>
      </c>
      <c r="AQ416" s="1322" t="s">
        <v>3724</v>
      </c>
      <c r="AR416" s="1262"/>
      <c r="AS416" s="1321" t="s">
        <v>3724</v>
      </c>
      <c r="AT416" s="1852"/>
      <c r="AU416" s="1852"/>
      <c r="AV416" s="1852"/>
      <c r="AW416" s="1852"/>
      <c r="AX416" s="1852"/>
      <c r="AY416" s="1852"/>
      <c r="AZ416" s="1852"/>
      <c r="BA416" s="1852"/>
      <c r="BB416" s="507"/>
      <c r="BC416" s="507"/>
      <c r="BD416" s="507"/>
      <c r="BE416" s="507"/>
      <c r="BF416" s="507"/>
      <c r="BG416" s="507"/>
      <c r="BH416" s="507"/>
      <c r="BI416" s="33" t="s">
        <v>550</v>
      </c>
      <c r="BJ416" s="12"/>
    </row>
    <row r="417" spans="1:62"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1544"/>
      <c r="AM417" s="1545"/>
      <c r="AN417" s="565"/>
      <c r="AO417" s="821" t="s">
        <v>67</v>
      </c>
      <c r="AP417" s="821" t="s">
        <v>67</v>
      </c>
      <c r="AQ417" s="422" t="s">
        <v>67</v>
      </c>
      <c r="AR417" s="515"/>
      <c r="AS417" s="83" t="s">
        <v>67</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1544"/>
      <c r="AM418" s="1545"/>
      <c r="AN418" s="565"/>
      <c r="AO418" s="821" t="s">
        <v>67</v>
      </c>
      <c r="AP418" s="821" t="s">
        <v>67</v>
      </c>
      <c r="AQ418" s="422" t="s">
        <v>67</v>
      </c>
      <c r="AR418" s="515"/>
      <c r="AS418" s="83" t="s">
        <v>67</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4750</v>
      </c>
      <c r="M419" s="173" t="s">
        <v>6309</v>
      </c>
      <c r="N419" s="173" t="s">
        <v>2527</v>
      </c>
      <c r="O419" s="467" t="s">
        <v>3500</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2797</v>
      </c>
      <c r="Z419" s="146" t="str">
        <f>OBRA!X417</f>
        <v>INGENIERÍA ARQUITECTURA MENDPAD S.A. DE C.V.</v>
      </c>
      <c r="AA419" s="146" t="s">
        <v>5669</v>
      </c>
      <c r="AB419" s="148" t="s">
        <v>2158</v>
      </c>
      <c r="AC419" s="2" t="s">
        <v>2140</v>
      </c>
      <c r="AD419" s="146" t="s">
        <v>2763</v>
      </c>
      <c r="AE419" s="184" t="str">
        <f>OBRA!Y417</f>
        <v>LIC. SALVADOR CONTRERAS OLGUÍN</v>
      </c>
      <c r="AF419" s="19">
        <v>55</v>
      </c>
      <c r="AG419" s="2" t="s">
        <v>1450</v>
      </c>
      <c r="AH419" s="607">
        <f t="shared" si="23"/>
        <v>1503.6378181818181</v>
      </c>
      <c r="AI419" s="2">
        <v>80</v>
      </c>
      <c r="AJ419" s="514">
        <v>80</v>
      </c>
      <c r="AK419" s="514"/>
      <c r="AL419" s="1542"/>
      <c r="AM419" s="1543"/>
      <c r="AN419" s="1301" t="s">
        <v>3725</v>
      </c>
      <c r="AO419" s="1301" t="s">
        <v>3725</v>
      </c>
      <c r="AP419" s="1301" t="s">
        <v>3725</v>
      </c>
      <c r="AQ419" s="1301" t="s">
        <v>3725</v>
      </c>
      <c r="AR419" s="1248"/>
      <c r="AS419" s="1321" t="s">
        <v>3725</v>
      </c>
      <c r="AT419" s="1852"/>
      <c r="AU419" s="1852"/>
      <c r="AV419" s="1852"/>
      <c r="AW419" s="1852"/>
      <c r="AX419" s="1852"/>
      <c r="AY419" s="1852"/>
      <c r="AZ419" s="1852"/>
      <c r="BA419" s="1852"/>
      <c r="BB419" s="507"/>
      <c r="BC419" s="507"/>
      <c r="BD419" s="507"/>
      <c r="BE419" s="507"/>
      <c r="BF419" s="507"/>
      <c r="BG419" s="507"/>
      <c r="BH419" s="507"/>
      <c r="BI419" s="33" t="s">
        <v>550</v>
      </c>
      <c r="BJ419" s="12"/>
    </row>
    <row r="420" spans="1:62"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4755</v>
      </c>
      <c r="M420" s="173" t="s">
        <v>6295</v>
      </c>
      <c r="N420" s="3" t="s">
        <v>1975</v>
      </c>
      <c r="O420" s="467" t="s">
        <v>3500</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2798</v>
      </c>
      <c r="Z420" s="146" t="str">
        <f>OBRA!X418</f>
        <v>INGENIERÍA ARQUITECTURA MENDPAD S.A. DE C.V.</v>
      </c>
      <c r="AA420" s="146" t="s">
        <v>5669</v>
      </c>
      <c r="AB420" s="148" t="s">
        <v>2158</v>
      </c>
      <c r="AC420" s="148" t="s">
        <v>2140</v>
      </c>
      <c r="AD420" s="146" t="s">
        <v>2763</v>
      </c>
      <c r="AE420" s="184" t="str">
        <f>OBRA!Y418</f>
        <v>LIC. SALVADOR CONTRERAS OLGUÍN</v>
      </c>
      <c r="AF420" s="19">
        <v>42</v>
      </c>
      <c r="AG420" s="2" t="s">
        <v>1450</v>
      </c>
      <c r="AH420" s="607">
        <f t="shared" si="23"/>
        <v>2805.1461904761904</v>
      </c>
      <c r="AI420" s="2">
        <v>100</v>
      </c>
      <c r="AJ420" s="514">
        <v>1000</v>
      </c>
      <c r="AK420" s="514"/>
      <c r="AL420" s="1542"/>
      <c r="AM420" s="1543"/>
      <c r="AN420" s="1301" t="s">
        <v>3726</v>
      </c>
      <c r="AO420" s="1301" t="s">
        <v>3726</v>
      </c>
      <c r="AP420" s="1301" t="s">
        <v>3726</v>
      </c>
      <c r="AQ420" s="1301" t="s">
        <v>3726</v>
      </c>
      <c r="AR420" s="1248"/>
      <c r="AS420" s="1321" t="s">
        <v>3726</v>
      </c>
      <c r="AT420" s="1852"/>
      <c r="AU420" s="1852"/>
      <c r="AV420" s="1852"/>
      <c r="AW420" s="1852"/>
      <c r="AX420" s="1852"/>
      <c r="AY420" s="1852"/>
      <c r="AZ420" s="1852"/>
      <c r="BA420" s="1852"/>
      <c r="BB420" s="507"/>
      <c r="BC420" s="507"/>
      <c r="BD420" s="507"/>
      <c r="BE420" s="507"/>
      <c r="BF420" s="507"/>
      <c r="BG420" s="507"/>
      <c r="BH420" s="507"/>
      <c r="BI420" s="33" t="s">
        <v>550</v>
      </c>
      <c r="BJ420" s="12"/>
    </row>
    <row r="421" spans="1:62"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4755</v>
      </c>
      <c r="M421" s="173" t="s">
        <v>6295</v>
      </c>
      <c r="N421" s="3" t="s">
        <v>1975</v>
      </c>
      <c r="O421" s="467" t="s">
        <v>3500</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2799</v>
      </c>
      <c r="Z421" s="146" t="str">
        <f>OBRA!X419</f>
        <v>INGENIERÍA ARQUITECTURA MENDPAD S.A. DE C.V.</v>
      </c>
      <c r="AA421" s="146" t="s">
        <v>5669</v>
      </c>
      <c r="AB421" s="148" t="s">
        <v>2158</v>
      </c>
      <c r="AC421" s="148" t="s">
        <v>2140</v>
      </c>
      <c r="AD421" s="146" t="s">
        <v>2763</v>
      </c>
      <c r="AE421" s="184" t="str">
        <f>OBRA!Y419</f>
        <v>LIC. SALVADOR CONTRERAS OLGUÍN</v>
      </c>
      <c r="AF421" s="19">
        <v>432</v>
      </c>
      <c r="AG421" s="2" t="s">
        <v>1548</v>
      </c>
      <c r="AH421" s="607">
        <f t="shared" si="23"/>
        <v>594.16527777777776</v>
      </c>
      <c r="AI421" s="2">
        <v>100</v>
      </c>
      <c r="AJ421" s="514">
        <v>5000</v>
      </c>
      <c r="AK421" s="514"/>
      <c r="AL421" s="1542"/>
      <c r="AM421" s="1543"/>
      <c r="AN421" s="1247" t="s">
        <v>3727</v>
      </c>
      <c r="AO421" s="1247" t="s">
        <v>3727</v>
      </c>
      <c r="AP421" s="1247" t="s">
        <v>3727</v>
      </c>
      <c r="AQ421" s="1301" t="s">
        <v>3727</v>
      </c>
      <c r="AR421" s="1248"/>
      <c r="AS421" s="1321" t="s">
        <v>3727</v>
      </c>
      <c r="AT421" s="1852"/>
      <c r="AU421" s="1852"/>
      <c r="AV421" s="1852"/>
      <c r="AW421" s="1852"/>
      <c r="AX421" s="1852"/>
      <c r="AY421" s="1852"/>
      <c r="AZ421" s="1852"/>
      <c r="BA421" s="1852"/>
      <c r="BB421" s="507"/>
      <c r="BC421" s="507"/>
      <c r="BD421" s="507"/>
      <c r="BE421" s="507"/>
      <c r="BF421" s="507"/>
      <c r="BG421" s="507"/>
      <c r="BH421" s="507"/>
      <c r="BI421" s="33" t="s">
        <v>550</v>
      </c>
      <c r="BJ421" s="12"/>
    </row>
    <row r="422" spans="1:62"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626"/>
      <c r="AM422" s="1546"/>
      <c r="AN422" s="565"/>
      <c r="AO422" s="565"/>
      <c r="AP422" s="565"/>
      <c r="AQ422" s="1261"/>
      <c r="AR422" s="1569"/>
      <c r="AS422" s="1259"/>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OBRA!K421</f>
        <v>2019</v>
      </c>
      <c r="B423" s="781" t="s">
        <v>2094</v>
      </c>
      <c r="C423" s="781">
        <v>196.38</v>
      </c>
      <c r="D423" s="1476" t="s">
        <v>4024</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3791</v>
      </c>
      <c r="L423" s="1842" t="s">
        <v>6247</v>
      </c>
      <c r="M423" s="173" t="s">
        <v>2881</v>
      </c>
      <c r="N423" s="173" t="s">
        <v>2580</v>
      </c>
      <c r="O423" s="467" t="s">
        <v>3500</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2882</v>
      </c>
      <c r="Z423" s="146" t="str">
        <f>OBRA!X421</f>
        <v>CONSTRUCTORA PIMONT S.A. DE C.V.</v>
      </c>
      <c r="AA423" s="146" t="s">
        <v>5669</v>
      </c>
      <c r="AB423" s="148" t="s">
        <v>1833</v>
      </c>
      <c r="AC423" s="148" t="s">
        <v>2135</v>
      </c>
      <c r="AD423" s="146" t="s">
        <v>2759</v>
      </c>
      <c r="AE423" s="184" t="str">
        <f>OBRA!Y421</f>
        <v>LIC. SALVADOR CONTRERAS OLGUÍN</v>
      </c>
      <c r="AF423" s="19">
        <v>95.9</v>
      </c>
      <c r="AG423" s="2" t="s">
        <v>1548</v>
      </c>
      <c r="AH423" s="607">
        <f t="shared" si="23"/>
        <v>9127.3145985401443</v>
      </c>
      <c r="AI423" s="2">
        <v>300</v>
      </c>
      <c r="AJ423" s="514">
        <v>2000</v>
      </c>
      <c r="AK423" s="514"/>
      <c r="AL423" s="1542"/>
      <c r="AM423" s="1543"/>
      <c r="AN423" s="1247" t="s">
        <v>3728</v>
      </c>
      <c r="AO423" s="1247" t="s">
        <v>3728</v>
      </c>
      <c r="AP423" s="1247" t="s">
        <v>3728</v>
      </c>
      <c r="AQ423" s="1301" t="s">
        <v>3728</v>
      </c>
      <c r="AR423" s="1248"/>
      <c r="AS423" s="1321" t="s">
        <v>3728</v>
      </c>
      <c r="AT423" s="1854"/>
      <c r="AU423" s="1854"/>
      <c r="AV423" s="1854"/>
      <c r="AW423" s="1854"/>
      <c r="AX423" s="1854"/>
      <c r="AY423" s="1854"/>
      <c r="AZ423" s="1854"/>
      <c r="BA423" s="1854"/>
      <c r="BB423" s="1239"/>
      <c r="BC423" s="1239"/>
      <c r="BD423" s="1239"/>
      <c r="BE423" s="1239"/>
      <c r="BF423" s="1239"/>
      <c r="BG423" s="1239"/>
      <c r="BH423" s="1239"/>
      <c r="BI423" s="33" t="s">
        <v>550</v>
      </c>
      <c r="BJ423" s="12"/>
    </row>
    <row r="424" spans="1:62" ht="57.75" hidden="1" customHeight="1">
      <c r="A424" s="16">
        <f>OBRA!K422</f>
        <v>2020</v>
      </c>
      <c r="B424" s="781" t="s">
        <v>2094</v>
      </c>
      <c r="C424" s="781">
        <v>200.03</v>
      </c>
      <c r="D424" s="781"/>
      <c r="E424" s="2" t="str">
        <f>OBRA!N422</f>
        <v>CEAJ / CUENTA CORRIENTE</v>
      </c>
      <c r="F424" s="597" t="s">
        <v>3525</v>
      </c>
      <c r="G424" s="156" t="s">
        <v>2864</v>
      </c>
      <c r="H424" s="413" t="str">
        <f>OBRA!O422</f>
        <v>CEAJ-PERF-002/2020</v>
      </c>
      <c r="I424" s="2" t="str">
        <f>OBRA!P422</f>
        <v>CONVENIO</v>
      </c>
      <c r="J424" s="3" t="str">
        <f>OBRA!Q422</f>
        <v>CONVENIO PARA LA PERFORACIÓN DE UN POZO PROFUNDO PARA AGUA POTABLE</v>
      </c>
      <c r="K424" s="3" t="s">
        <v>4045</v>
      </c>
      <c r="L424" s="3"/>
      <c r="M424" s="674" t="s">
        <v>3978</v>
      </c>
      <c r="N424" s="674" t="s">
        <v>2666</v>
      </c>
      <c r="O424" s="505" t="s">
        <v>3525</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1542"/>
      <c r="AM424" s="1543"/>
      <c r="AN424" s="563" t="s">
        <v>3501</v>
      </c>
      <c r="AO424" s="1133" t="s">
        <v>67</v>
      </c>
      <c r="AP424" s="1133" t="s">
        <v>67</v>
      </c>
      <c r="AQ424" s="992" t="s">
        <v>67</v>
      </c>
      <c r="AR424" s="992"/>
      <c r="AS424" s="990" t="s">
        <v>67</v>
      </c>
      <c r="AT424" s="991"/>
      <c r="AU424" s="991"/>
      <c r="AV424" s="991"/>
      <c r="AW424" s="991"/>
      <c r="AX424" s="991"/>
      <c r="AY424" s="991"/>
      <c r="AZ424" s="991"/>
      <c r="BA424" s="991"/>
      <c r="BB424" s="991"/>
      <c r="BC424" s="991"/>
      <c r="BD424" s="991"/>
      <c r="BE424" s="991"/>
      <c r="BF424" s="991"/>
      <c r="BG424" s="991"/>
      <c r="BH424" s="991"/>
      <c r="BI424" s="33" t="s">
        <v>550</v>
      </c>
      <c r="BJ424" s="12"/>
    </row>
    <row r="425" spans="1:62" ht="56.25" hidden="1" customHeight="1">
      <c r="A425" s="16">
        <f>OBRA!K423</f>
        <v>2020</v>
      </c>
      <c r="B425" s="781" t="s">
        <v>2094</v>
      </c>
      <c r="C425" s="781">
        <v>200.04</v>
      </c>
      <c r="D425" s="781"/>
      <c r="E425" s="2" t="str">
        <f>OBRA!N423</f>
        <v>RESCATE AL PATRIMONIO</v>
      </c>
      <c r="F425" s="597" t="s">
        <v>3525</v>
      </c>
      <c r="G425" s="156" t="s">
        <v>2864</v>
      </c>
      <c r="H425" s="413" t="str">
        <f>OBRA!O423</f>
        <v>CULTURA 2020</v>
      </c>
      <c r="I425" s="2" t="str">
        <f>OBRA!P423</f>
        <v>CONVENIO</v>
      </c>
      <c r="J425" s="3" t="str">
        <f>OBRA!Q423</f>
        <v>REMOZAMIENTO Y MEJORAMIENTO  DE IMAGEN URBANA DEL TEMPLO DEL SEÑOR DEL MONTE</v>
      </c>
      <c r="K425" s="3" t="s">
        <v>4046</v>
      </c>
      <c r="L425" s="3"/>
      <c r="M425" s="674" t="s">
        <v>3979</v>
      </c>
      <c r="N425" s="674" t="s">
        <v>2666</v>
      </c>
      <c r="O425" s="505" t="s">
        <v>3525</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3218</v>
      </c>
      <c r="AH425" s="607">
        <f t="shared" si="26"/>
        <v>800000</v>
      </c>
      <c r="AI425" s="2">
        <v>3600</v>
      </c>
      <c r="AJ425" s="514">
        <v>3600</v>
      </c>
      <c r="AK425" s="514"/>
      <c r="AL425" s="1542"/>
      <c r="AM425" s="1543"/>
      <c r="AN425" s="563" t="s">
        <v>3501</v>
      </c>
      <c r="AO425" s="1133" t="s">
        <v>67</v>
      </c>
      <c r="AP425" s="1133" t="s">
        <v>67</v>
      </c>
      <c r="AQ425" s="992" t="s">
        <v>67</v>
      </c>
      <c r="AR425" s="992"/>
      <c r="AS425" s="990" t="s">
        <v>67</v>
      </c>
      <c r="AT425" s="991"/>
      <c r="AU425" s="991"/>
      <c r="AV425" s="991"/>
      <c r="AW425" s="991"/>
      <c r="AX425" s="991"/>
      <c r="AY425" s="991"/>
      <c r="AZ425" s="991"/>
      <c r="BA425" s="991"/>
      <c r="BB425" s="991"/>
      <c r="BC425" s="991"/>
      <c r="BD425" s="991"/>
      <c r="BE425" s="991"/>
      <c r="BF425" s="991"/>
      <c r="BG425" s="991"/>
      <c r="BH425" s="991"/>
      <c r="BI425" s="33" t="s">
        <v>550</v>
      </c>
      <c r="BJ425" s="12"/>
    </row>
    <row r="426" spans="1:62" ht="78" hidden="1" customHeight="1">
      <c r="A426" s="16">
        <f>OBRA!K424</f>
        <v>2020</v>
      </c>
      <c r="B426" s="781" t="s">
        <v>2094</v>
      </c>
      <c r="C426" s="781">
        <v>200.06</v>
      </c>
      <c r="D426" s="781"/>
      <c r="E426" s="2" t="str">
        <f>OBRA!N424</f>
        <v>FOCOCI</v>
      </c>
      <c r="F426" s="597" t="s">
        <v>3525</v>
      </c>
      <c r="G426" s="156" t="s">
        <v>2864</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4047</v>
      </c>
      <c r="L426" s="3"/>
      <c r="M426" s="674" t="s">
        <v>3980</v>
      </c>
      <c r="N426" s="674" t="s">
        <v>2578</v>
      </c>
      <c r="O426" s="505" t="s">
        <v>3525</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1542"/>
      <c r="AM426" s="1543"/>
      <c r="AN426" s="563"/>
      <c r="AO426" s="1133" t="s">
        <v>67</v>
      </c>
      <c r="AP426" s="1133" t="s">
        <v>67</v>
      </c>
      <c r="AQ426" s="992" t="s">
        <v>67</v>
      </c>
      <c r="AR426" s="992"/>
      <c r="AS426" s="990" t="s">
        <v>67</v>
      </c>
      <c r="AT426" s="991"/>
      <c r="AU426" s="991"/>
      <c r="AV426" s="991"/>
      <c r="AW426" s="991"/>
      <c r="AX426" s="991"/>
      <c r="AY426" s="991"/>
      <c r="AZ426" s="991"/>
      <c r="BA426" s="991"/>
      <c r="BB426" s="991"/>
      <c r="BC426" s="991"/>
      <c r="BD426" s="991"/>
      <c r="BE426" s="991"/>
      <c r="BF426" s="991"/>
      <c r="BG426" s="991"/>
      <c r="BH426" s="991"/>
      <c r="BI426" s="33" t="s">
        <v>550</v>
      </c>
      <c r="BJ426" s="12"/>
    </row>
    <row r="427" spans="1:62" s="104" customFormat="1" ht="54.75" hidden="1" customHeight="1">
      <c r="A427" s="16">
        <f>OBRA!K425</f>
        <v>2020</v>
      </c>
      <c r="B427" s="781" t="s">
        <v>2094</v>
      </c>
      <c r="C427" s="781">
        <v>200.18</v>
      </c>
      <c r="D427" s="781"/>
      <c r="E427" s="2" t="str">
        <f>OBRA!N425</f>
        <v xml:space="preserve">RASTRO DIGNO </v>
      </c>
      <c r="F427" s="597" t="s">
        <v>3525</v>
      </c>
      <c r="G427" s="156" t="s">
        <v>2864</v>
      </c>
      <c r="H427" s="413" t="str">
        <f>OBRA!O425</f>
        <v>RASTRO DIGNO 2020</v>
      </c>
      <c r="I427" s="2" t="str">
        <f>OBRA!P425</f>
        <v>CONVENIO</v>
      </c>
      <c r="J427" s="3" t="str">
        <f>OBRA!Q425</f>
        <v>PROGRAMA PARA MEJORAMIENTO DE RASTROS "RASTRO DIGNO", EJERCICIO 2020</v>
      </c>
      <c r="K427" s="3" t="s">
        <v>2870</v>
      </c>
      <c r="L427" s="3"/>
      <c r="M427" s="674" t="s">
        <v>2002</v>
      </c>
      <c r="N427" s="674" t="s">
        <v>1975</v>
      </c>
      <c r="O427" s="505" t="s">
        <v>3525</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3218</v>
      </c>
      <c r="AH427" s="607">
        <f t="shared" si="26"/>
        <v>1377774.3049999999</v>
      </c>
      <c r="AI427" s="2">
        <v>16000</v>
      </c>
      <c r="AJ427" s="514">
        <v>16000</v>
      </c>
      <c r="AK427" s="514"/>
      <c r="AL427" s="1542"/>
      <c r="AM427" s="1543"/>
      <c r="AN427" s="563" t="s">
        <v>3501</v>
      </c>
      <c r="AO427" s="1133" t="s">
        <v>67</v>
      </c>
      <c r="AP427" s="1133" t="s">
        <v>67</v>
      </c>
      <c r="AQ427" s="992" t="s">
        <v>67</v>
      </c>
      <c r="AR427" s="992"/>
      <c r="AS427" s="990" t="s">
        <v>67</v>
      </c>
      <c r="AT427" s="991"/>
      <c r="AU427" s="991"/>
      <c r="AV427" s="991"/>
      <c r="AW427" s="991"/>
      <c r="AX427" s="991"/>
      <c r="AY427" s="991"/>
      <c r="AZ427" s="991"/>
      <c r="BA427" s="991"/>
      <c r="BB427" s="991"/>
      <c r="BC427" s="991"/>
      <c r="BD427" s="991"/>
      <c r="BE427" s="991"/>
      <c r="BF427" s="991"/>
      <c r="BG427" s="991"/>
      <c r="BH427" s="991"/>
      <c r="BI427" s="33" t="s">
        <v>550</v>
      </c>
      <c r="BJ427" s="12"/>
    </row>
    <row r="428" spans="1:62" ht="72" hidden="1" customHeight="1">
      <c r="A428" s="16">
        <f>OBRA!K426</f>
        <v>2020</v>
      </c>
      <c r="B428" s="781" t="s">
        <v>2094</v>
      </c>
      <c r="C428" s="781">
        <v>200.19</v>
      </c>
      <c r="D428" s="781"/>
      <c r="E428" s="2" t="str">
        <f>OBRA!N426</f>
        <v>EMP P/LA REACTIVACIÓN ECONÓMICA EN MPIOS</v>
      </c>
      <c r="F428" s="597" t="s">
        <v>3525</v>
      </c>
      <c r="G428" s="156" t="s">
        <v>2864</v>
      </c>
      <c r="H428" s="413" t="str">
        <f>OBRA!O426</f>
        <v>SADER/DGIR/EMP/057/2020</v>
      </c>
      <c r="I428" s="2" t="str">
        <f>OBRA!P426</f>
        <v>CONVENIO</v>
      </c>
      <c r="J428" s="3" t="str">
        <f>OBRA!Q426</f>
        <v xml:space="preserve">PROGRAMA DE EMPEDRADOS PARA LA REACTIVACIÓN ECONÓMICA EN MUNICIPIOS </v>
      </c>
      <c r="K428" s="3" t="s">
        <v>4048</v>
      </c>
      <c r="L428" s="3"/>
      <c r="M428" s="674" t="s">
        <v>2118</v>
      </c>
      <c r="N428" s="674" t="s">
        <v>1975</v>
      </c>
      <c r="O428" s="505" t="s">
        <v>3525</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3218</v>
      </c>
      <c r="AH428" s="607">
        <f t="shared" si="26"/>
        <v>3500000</v>
      </c>
      <c r="AI428" s="2">
        <v>22000</v>
      </c>
      <c r="AJ428" s="514">
        <v>22000</v>
      </c>
      <c r="AK428" s="514"/>
      <c r="AL428" s="1542"/>
      <c r="AM428" s="1543"/>
      <c r="AN428" s="563" t="s">
        <v>3501</v>
      </c>
      <c r="AO428" s="1133" t="s">
        <v>67</v>
      </c>
      <c r="AP428" s="1133" t="s">
        <v>67</v>
      </c>
      <c r="AQ428" s="992" t="s">
        <v>67</v>
      </c>
      <c r="AR428" s="992"/>
      <c r="AS428" s="990" t="s">
        <v>67</v>
      </c>
      <c r="AT428" s="991"/>
      <c r="AU428" s="991"/>
      <c r="AV428" s="991"/>
      <c r="AW428" s="991"/>
      <c r="AX428" s="991"/>
      <c r="AY428" s="991"/>
      <c r="AZ428" s="991"/>
      <c r="BA428" s="991"/>
      <c r="BB428" s="991"/>
      <c r="BC428" s="991"/>
      <c r="BD428" s="991"/>
      <c r="BE428" s="991"/>
      <c r="BF428" s="991"/>
      <c r="BG428" s="991"/>
      <c r="BH428" s="991"/>
      <c r="BI428" s="33" t="s">
        <v>550</v>
      </c>
      <c r="BJ428" s="12"/>
    </row>
    <row r="429" spans="1:62" ht="74.25" hidden="1" customHeight="1">
      <c r="A429" s="16">
        <f>OBRA!K427</f>
        <v>2020</v>
      </c>
      <c r="B429" s="781" t="s">
        <v>2094</v>
      </c>
      <c r="C429" s="781">
        <v>201.01</v>
      </c>
      <c r="D429" s="781"/>
      <c r="E429" s="2" t="str">
        <f>OBRA!N427</f>
        <v>CUENTA CORRIENTE</v>
      </c>
      <c r="F429" s="597" t="s">
        <v>3525</v>
      </c>
      <c r="G429" s="156" t="s">
        <v>2864</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4049</v>
      </c>
      <c r="L429" s="3" t="s">
        <v>5420</v>
      </c>
      <c r="M429" s="674" t="s">
        <v>2151</v>
      </c>
      <c r="N429" s="674" t="s">
        <v>2509</v>
      </c>
      <c r="O429" s="505" t="s">
        <v>3655</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3218</v>
      </c>
      <c r="AH429" s="607">
        <f t="shared" si="26"/>
        <v>74800.98</v>
      </c>
      <c r="AI429" s="2">
        <v>48500</v>
      </c>
      <c r="AJ429" s="514">
        <v>48500</v>
      </c>
      <c r="AK429" s="514"/>
      <c r="AL429" s="1551">
        <v>20.359369999999998</v>
      </c>
      <c r="AM429" s="1552">
        <v>103.48399000000001</v>
      </c>
      <c r="AN429" s="563" t="s">
        <v>3501</v>
      </c>
      <c r="AO429" s="1133" t="s">
        <v>67</v>
      </c>
      <c r="AP429" s="1133" t="s">
        <v>67</v>
      </c>
      <c r="AQ429" s="992" t="s">
        <v>67</v>
      </c>
      <c r="AR429" s="992"/>
      <c r="AS429" s="990" t="s">
        <v>67</v>
      </c>
      <c r="AT429" s="1855"/>
      <c r="AU429" s="1855"/>
      <c r="AV429" s="1855"/>
      <c r="AW429" s="1855"/>
      <c r="AX429" s="1855"/>
      <c r="AY429" s="1855"/>
      <c r="AZ429" s="1855"/>
      <c r="BA429" s="1855"/>
      <c r="BB429" s="991"/>
      <c r="BC429" s="991"/>
      <c r="BD429" s="991"/>
      <c r="BE429" s="991"/>
      <c r="BF429" s="991"/>
      <c r="BG429" s="991"/>
      <c r="BH429" s="991"/>
      <c r="BI429" s="33" t="s">
        <v>550</v>
      </c>
      <c r="BJ429" s="12"/>
    </row>
    <row r="430" spans="1:62" ht="57.75" hidden="1" customHeight="1">
      <c r="A430" s="16">
        <f>OBRA!K428</f>
        <v>2020</v>
      </c>
      <c r="B430" s="781" t="s">
        <v>2094</v>
      </c>
      <c r="C430" s="781">
        <v>201.02</v>
      </c>
      <c r="D430" s="781"/>
      <c r="E430" s="2" t="str">
        <f>OBRA!N428</f>
        <v>CUENTA CORRIENTE</v>
      </c>
      <c r="F430" s="156" t="s">
        <v>1427</v>
      </c>
      <c r="G430" s="156" t="s">
        <v>2864</v>
      </c>
      <c r="H430" s="413" t="str">
        <f>OBRA!O428</f>
        <v>DOP/AD/002/2020</v>
      </c>
      <c r="I430" s="2" t="str">
        <f>OBRA!P428</f>
        <v>ADMINISTRACIÓN DIRECTA</v>
      </c>
      <c r="J430" s="3" t="str">
        <f>OBRA!Q428</f>
        <v>"REHABILITACIÓN Y MANTENIMIENTO DE "LA CASA DE CULTURA SAN JUAN COSALA, DEL MUNICIPIO DE JOCOTEPEC, JALISCO.</v>
      </c>
      <c r="K430" s="544"/>
      <c r="L430" s="3" t="s">
        <v>6242</v>
      </c>
      <c r="M430" s="674" t="s">
        <v>3034</v>
      </c>
      <c r="N430" s="674" t="s">
        <v>2527</v>
      </c>
      <c r="O430" s="505" t="s">
        <v>3656</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2914</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1551">
        <v>20.287504999999999</v>
      </c>
      <c r="AM430" s="1552">
        <v>103.340613</v>
      </c>
      <c r="AN430" s="1264" t="s">
        <v>3655</v>
      </c>
      <c r="AO430" s="565"/>
      <c r="AP430" s="1247" t="s">
        <v>3655</v>
      </c>
      <c r="AQ430" s="1247" t="s">
        <v>3655</v>
      </c>
      <c r="AR430" s="1311"/>
      <c r="AS430" s="1292"/>
      <c r="AT430" s="1849"/>
      <c r="AU430" s="1849"/>
      <c r="AV430" s="1849"/>
      <c r="AW430" s="1849"/>
      <c r="AX430" s="1849"/>
      <c r="AY430" s="1849"/>
      <c r="AZ430" s="1849"/>
      <c r="BA430" s="1849"/>
      <c r="BB430" s="1718"/>
      <c r="BC430" s="1718"/>
      <c r="BD430" s="1718"/>
      <c r="BE430" s="1718"/>
      <c r="BF430" s="1718"/>
      <c r="BG430" s="1718"/>
      <c r="BH430" s="1718"/>
      <c r="BI430" s="413"/>
      <c r="BJ430" s="12"/>
    </row>
    <row r="431" spans="1:62" ht="70.5" hidden="1" customHeight="1">
      <c r="A431" s="16">
        <f>OBRA!K429</f>
        <v>2020</v>
      </c>
      <c r="B431" s="781" t="s">
        <v>2094</v>
      </c>
      <c r="C431" s="781">
        <v>201.03</v>
      </c>
      <c r="D431" s="1476"/>
      <c r="E431" s="2" t="str">
        <f>OBRA!N429</f>
        <v>CEAJ / CUENTA CORRIENTE</v>
      </c>
      <c r="F431" s="156" t="s">
        <v>1427</v>
      </c>
      <c r="G431" s="156" t="s">
        <v>2864</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4050</v>
      </c>
      <c r="L431" s="3" t="s">
        <v>4754</v>
      </c>
      <c r="M431" s="674" t="s">
        <v>4085</v>
      </c>
      <c r="N431" s="674" t="s">
        <v>2617</v>
      </c>
      <c r="O431" s="505" t="s">
        <v>3657</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2947</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1553"/>
      <c r="AM431" s="1554"/>
      <c r="AN431" s="1264" t="s">
        <v>3656</v>
      </c>
      <c r="AO431" s="1247" t="s">
        <v>3656</v>
      </c>
      <c r="AP431" s="565"/>
      <c r="AQ431" s="1247" t="s">
        <v>3656</v>
      </c>
      <c r="AR431" s="1311"/>
      <c r="AS431" s="1292"/>
      <c r="AT431" s="1849"/>
      <c r="AU431" s="1849"/>
      <c r="AV431" s="1849"/>
      <c r="AW431" s="1849"/>
      <c r="AX431" s="1849"/>
      <c r="AY431" s="1849"/>
      <c r="AZ431" s="1849"/>
      <c r="BA431" s="1849"/>
      <c r="BB431" s="1718"/>
      <c r="BC431" s="1718"/>
      <c r="BD431" s="1718"/>
      <c r="BE431" s="1718"/>
      <c r="BF431" s="1718"/>
      <c r="BG431" s="1718"/>
      <c r="BH431" s="1718"/>
      <c r="BI431" s="413"/>
      <c r="BJ431" s="12"/>
    </row>
    <row r="432" spans="1:62" ht="88.5" hidden="1" customHeight="1">
      <c r="A432" s="16">
        <f>OBRA!K430</f>
        <v>2020</v>
      </c>
      <c r="B432" s="781" t="s">
        <v>2094</v>
      </c>
      <c r="C432" s="781">
        <v>201.04</v>
      </c>
      <c r="D432" s="781"/>
      <c r="E432" s="2" t="str">
        <f>OBRA!N430</f>
        <v>CUENTA CORRIENTE</v>
      </c>
      <c r="F432" s="597" t="s">
        <v>3525</v>
      </c>
      <c r="G432" s="156" t="s">
        <v>2864</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4755</v>
      </c>
      <c r="M432" s="674" t="s">
        <v>3981</v>
      </c>
      <c r="N432" s="674" t="s">
        <v>2527</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2802</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1551">
        <v>20.286078</v>
      </c>
      <c r="AM432" s="1552">
        <v>103.34253</v>
      </c>
      <c r="AN432" s="1247" t="s">
        <v>3657</v>
      </c>
      <c r="AO432" s="565"/>
      <c r="AP432" s="565"/>
      <c r="AQ432" s="1247" t="s">
        <v>3657</v>
      </c>
      <c r="AR432" s="1311"/>
      <c r="AS432" s="1292"/>
      <c r="AT432" s="1849"/>
      <c r="AU432" s="1849"/>
      <c r="AV432" s="1849"/>
      <c r="AW432" s="1849"/>
      <c r="AX432" s="1849"/>
      <c r="AY432" s="1849"/>
      <c r="AZ432" s="1849"/>
      <c r="BA432" s="1849"/>
      <c r="BB432" s="1718"/>
      <c r="BC432" s="1718"/>
      <c r="BD432" s="1718"/>
      <c r="BE432" s="1718"/>
      <c r="BF432" s="1718"/>
      <c r="BG432" s="1718"/>
      <c r="BH432" s="1718"/>
      <c r="BI432" s="413"/>
      <c r="BJ432" s="12"/>
    </row>
    <row r="433" spans="1:62" ht="62.25" hidden="1" customHeight="1">
      <c r="A433" s="16">
        <f>OBRA!K431</f>
        <v>2020</v>
      </c>
      <c r="B433" s="781" t="s">
        <v>2094</v>
      </c>
      <c r="C433" s="781">
        <v>201.05</v>
      </c>
      <c r="D433" s="781"/>
      <c r="E433" s="2" t="str">
        <f>OBRA!N431</f>
        <v>CUENTA CORRIENTE</v>
      </c>
      <c r="F433" s="156" t="s">
        <v>1427</v>
      </c>
      <c r="G433" s="156" t="s">
        <v>2864</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6242</v>
      </c>
      <c r="M433" s="674" t="s">
        <v>3034</v>
      </c>
      <c r="N433" s="674" t="s">
        <v>2527</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3872</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1551">
        <v>20.287499</v>
      </c>
      <c r="AM433" s="1552">
        <v>103.340625</v>
      </c>
      <c r="AN433" s="565"/>
      <c r="AO433" s="565"/>
      <c r="AP433" s="565"/>
      <c r="AQ433" s="565"/>
      <c r="AR433" s="784"/>
      <c r="AS433" s="1292"/>
      <c r="AT433" s="1849"/>
      <c r="AU433" s="1849"/>
      <c r="AV433" s="1849"/>
      <c r="AW433" s="1849"/>
      <c r="AX433" s="1849"/>
      <c r="AY433" s="1849"/>
      <c r="AZ433" s="1849"/>
      <c r="BA433" s="1849"/>
      <c r="BB433" s="1718"/>
      <c r="BC433" s="1718"/>
      <c r="BD433" s="1718"/>
      <c r="BE433" s="1718"/>
      <c r="BF433" s="1718"/>
      <c r="BG433" s="1718"/>
      <c r="BH433" s="1718"/>
      <c r="BI433" s="413"/>
      <c r="BJ433" s="12"/>
    </row>
    <row r="434" spans="1:62" ht="81.75" hidden="1" customHeight="1">
      <c r="A434" s="16">
        <f>OBRA!K432</f>
        <v>2020</v>
      </c>
      <c r="B434" s="781" t="s">
        <v>2094</v>
      </c>
      <c r="C434" s="781">
        <v>201.06</v>
      </c>
      <c r="D434" s="781"/>
      <c r="E434" s="2" t="str">
        <f>OBRA!N432</f>
        <v>RAMO 33</v>
      </c>
      <c r="F434" s="156" t="s">
        <v>1427</v>
      </c>
      <c r="G434" s="156" t="s">
        <v>2864</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3982</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2756</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1542"/>
      <c r="AM434" s="1543"/>
      <c r="AN434" s="984"/>
      <c r="AO434" s="565"/>
      <c r="AP434" s="565"/>
      <c r="AQ434" s="565"/>
      <c r="AR434" s="784"/>
      <c r="AS434" s="1292"/>
      <c r="AT434" s="1718"/>
      <c r="AU434" s="1718"/>
      <c r="AV434" s="1718"/>
      <c r="AW434" s="1718"/>
      <c r="AX434" s="1718"/>
      <c r="AY434" s="1718"/>
      <c r="AZ434" s="1718"/>
      <c r="BA434" s="1718"/>
      <c r="BB434" s="1718"/>
      <c r="BC434" s="1718"/>
      <c r="BD434" s="1718"/>
      <c r="BE434" s="1718"/>
      <c r="BF434" s="1718"/>
      <c r="BG434" s="1718"/>
      <c r="BH434" s="1718"/>
      <c r="BI434" s="413" t="s">
        <v>67</v>
      </c>
      <c r="BJ434" s="12"/>
    </row>
    <row r="435" spans="1:62"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3985</v>
      </c>
      <c r="L435" s="3" t="s">
        <v>4755</v>
      </c>
      <c r="M435" s="674" t="s">
        <v>3983</v>
      </c>
      <c r="N435" s="674" t="s">
        <v>2617</v>
      </c>
      <c r="O435" s="1629" t="s">
        <v>4190</v>
      </c>
      <c r="P435" s="4">
        <f>OBRA!S433</f>
        <v>196881.44</v>
      </c>
      <c r="Q435" s="1045">
        <f t="shared" si="24"/>
        <v>169725.37931034484</v>
      </c>
      <c r="R435" s="1045"/>
      <c r="S435" s="6">
        <f>OBRA!T433</f>
        <v>44089</v>
      </c>
      <c r="T435" s="1156" t="s">
        <v>1176</v>
      </c>
      <c r="U435" s="5">
        <f>OBRA!U433</f>
        <v>44144</v>
      </c>
      <c r="V435" s="11">
        <f>OBRA!V433</f>
        <v>44191</v>
      </c>
      <c r="W435" s="221">
        <v>0</v>
      </c>
      <c r="X435" s="1641">
        <f>OBRA!AT433+OBRA!AU433</f>
        <v>0</v>
      </c>
      <c r="Y435" s="1040" t="s">
        <v>3562</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1551">
        <v>20.336055000000002</v>
      </c>
      <c r="AM435" s="1552">
        <v>103.327597</v>
      </c>
      <c r="AN435" s="1247" t="s">
        <v>3658</v>
      </c>
      <c r="AO435" s="1247" t="s">
        <v>3658</v>
      </c>
      <c r="AP435" s="1247" t="s">
        <v>3658</v>
      </c>
      <c r="AQ435" s="1247" t="s">
        <v>3658</v>
      </c>
      <c r="AR435" s="1311"/>
      <c r="AS435" s="1263" t="s">
        <v>3658</v>
      </c>
      <c r="AT435" s="1849"/>
      <c r="AU435" s="1849"/>
      <c r="AV435" s="1849"/>
      <c r="AW435" s="1849"/>
      <c r="AX435" s="1849"/>
      <c r="AY435" s="1849"/>
      <c r="AZ435" s="1849"/>
      <c r="BA435" s="1849"/>
      <c r="BB435" s="1718"/>
      <c r="BC435" s="1718"/>
      <c r="BD435" s="1718"/>
      <c r="BE435" s="1718"/>
      <c r="BF435" s="1718"/>
      <c r="BG435" s="1718"/>
      <c r="BH435" s="1718"/>
      <c r="BI435" s="413" t="s">
        <v>550</v>
      </c>
      <c r="BJ435" s="12"/>
    </row>
    <row r="436" spans="1:62" ht="83.25" hidden="1" customHeight="1">
      <c r="A436" s="16">
        <f>OBRA!K434</f>
        <v>2020</v>
      </c>
      <c r="B436" s="781" t="s">
        <v>2094</v>
      </c>
      <c r="C436" s="781">
        <v>201.071</v>
      </c>
      <c r="D436" s="781"/>
      <c r="E436" s="2" t="str">
        <f>OBRA!N434</f>
        <v>CTA-CTE / EMP P REACT ECO MPIOS</v>
      </c>
      <c r="F436" s="597" t="s">
        <v>3525</v>
      </c>
      <c r="G436" s="156" t="s">
        <v>2864</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3985</v>
      </c>
      <c r="L436" s="3" t="s">
        <v>4755</v>
      </c>
      <c r="M436" s="674" t="s">
        <v>3983</v>
      </c>
      <c r="N436" s="674" t="s">
        <v>2617</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3487</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1551">
        <v>20.336055000000002</v>
      </c>
      <c r="AM436" s="1552">
        <v>103.327597</v>
      </c>
      <c r="AN436" s="1247" t="s">
        <v>3535</v>
      </c>
      <c r="AO436" s="1247" t="s">
        <v>3535</v>
      </c>
      <c r="AP436" s="1247" t="s">
        <v>3535</v>
      </c>
      <c r="AQ436" s="565"/>
      <c r="AR436" s="784"/>
      <c r="AS436" s="1292"/>
      <c r="AT436" s="1849"/>
      <c r="AU436" s="1849"/>
      <c r="AV436" s="1849"/>
      <c r="AW436" s="1849"/>
      <c r="AX436" s="1849"/>
      <c r="AY436" s="1849"/>
      <c r="AZ436" s="1849"/>
      <c r="BA436" s="1849"/>
      <c r="BB436" s="1718"/>
      <c r="BC436" s="1718"/>
      <c r="BD436" s="1718"/>
      <c r="BE436" s="1718"/>
      <c r="BF436" s="1718"/>
      <c r="BG436" s="1718"/>
      <c r="BH436" s="1718"/>
      <c r="BI436" s="413"/>
      <c r="BJ436" s="12"/>
    </row>
    <row r="437" spans="1:62" ht="73.5" hidden="1" customHeight="1">
      <c r="A437" s="16">
        <f>OBRA!K435</f>
        <v>2020</v>
      </c>
      <c r="B437" s="781" t="s">
        <v>2094</v>
      </c>
      <c r="C437" s="781">
        <v>201.08</v>
      </c>
      <c r="D437" s="781"/>
      <c r="E437" s="2" t="str">
        <f>OBRA!N435</f>
        <v>EMP P/LA REACTIVACIÓN ECONÓMICA EN MPIOS</v>
      </c>
      <c r="F437" s="597" t="s">
        <v>3525</v>
      </c>
      <c r="G437" s="156" t="s">
        <v>2864</v>
      </c>
      <c r="H437" s="413" t="str">
        <f>OBRA!O435</f>
        <v>DOP/AD/008/2020</v>
      </c>
      <c r="I437" s="2" t="str">
        <f>OBRA!P435</f>
        <v>ADMINISTRACIÓN DIRECTA</v>
      </c>
      <c r="J437" s="3" t="str">
        <f>OBRA!Q435</f>
        <v>CONSTRUCCIÓN DE EMPEDRADO ZAMPEADO EN CALLES DE LA DELEGACIÓN DE HUEJOTITAN</v>
      </c>
      <c r="K437" s="3" t="s">
        <v>3985</v>
      </c>
      <c r="L437" s="3" t="s">
        <v>4755</v>
      </c>
      <c r="M437" s="674" t="s">
        <v>3984</v>
      </c>
      <c r="N437" s="674" t="s">
        <v>2509</v>
      </c>
      <c r="O437" s="505" t="s">
        <v>4191</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4125</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1551" t="s">
        <v>67</v>
      </c>
      <c r="AM437" s="1552" t="s">
        <v>67</v>
      </c>
      <c r="AN437" s="565"/>
      <c r="AO437" s="565"/>
      <c r="AP437" s="565"/>
      <c r="AQ437" s="565"/>
      <c r="AR437" s="784"/>
      <c r="AS437" s="1292"/>
      <c r="AT437" s="1849"/>
      <c r="AU437" s="1849"/>
      <c r="AV437" s="1849"/>
      <c r="AW437" s="1849"/>
      <c r="AX437" s="1849"/>
      <c r="AY437" s="1849"/>
      <c r="AZ437" s="1849"/>
      <c r="BA437" s="1849"/>
      <c r="BB437" s="1718"/>
      <c r="BC437" s="1718"/>
      <c r="BD437" s="1718"/>
      <c r="BE437" s="1718"/>
      <c r="BF437" s="1718"/>
      <c r="BG437" s="1718"/>
      <c r="BH437" s="1718"/>
      <c r="BI437" s="413"/>
      <c r="BJ437" s="12"/>
    </row>
    <row r="438" spans="1:62" ht="73.5" hidden="1" customHeight="1">
      <c r="A438" s="16">
        <f>OBRA!K436</f>
        <v>2020</v>
      </c>
      <c r="B438" s="781" t="s">
        <v>2094</v>
      </c>
      <c r="C438" s="781">
        <v>201.08099999999999</v>
      </c>
      <c r="D438" s="781"/>
      <c r="E438" s="2" t="str">
        <f>OBRA!N436</f>
        <v>CTA-CTE / EMP P REACT ECO MPIOS</v>
      </c>
      <c r="F438" s="597" t="s">
        <v>3525</v>
      </c>
      <c r="G438" s="156" t="s">
        <v>2864</v>
      </c>
      <c r="H438" s="413" t="str">
        <f>OBRA!O436</f>
        <v>DOP/AD/008-A/2020</v>
      </c>
      <c r="I438" s="2" t="str">
        <f>OBRA!P436</f>
        <v>ADMINISTRACIÓN DIRECTA</v>
      </c>
      <c r="J438" s="3" t="str">
        <f>OBRA!Q436</f>
        <v>CONSTRUCCIÓN DE EMPEDRADO ZAMPEADO, EN LA LOCALIDAD DE HUEJOTITAN DEL MUNICIPIO DE JOCOTEPEC, JALISCO.</v>
      </c>
      <c r="K438" s="3" t="s">
        <v>3985</v>
      </c>
      <c r="L438" s="3" t="s">
        <v>4755</v>
      </c>
      <c r="M438" s="674" t="s">
        <v>3984</v>
      </c>
      <c r="N438" s="674" t="s">
        <v>2509</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3487</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1551" t="s">
        <v>67</v>
      </c>
      <c r="AM438" s="1552" t="s">
        <v>67</v>
      </c>
      <c r="AN438" s="1247" t="s">
        <v>3539</v>
      </c>
      <c r="AO438" s="1247" t="s">
        <v>3539</v>
      </c>
      <c r="AP438" s="1247" t="s">
        <v>3539</v>
      </c>
      <c r="AQ438" s="1247" t="s">
        <v>3539</v>
      </c>
      <c r="AR438" s="1311"/>
      <c r="AS438" s="1292"/>
      <c r="AT438" s="1849"/>
      <c r="AU438" s="1849"/>
      <c r="AV438" s="1849"/>
      <c r="AW438" s="1849"/>
      <c r="AX438" s="1849"/>
      <c r="AY438" s="1849"/>
      <c r="AZ438" s="1849"/>
      <c r="BA438" s="1849"/>
      <c r="BB438" s="1718"/>
      <c r="BC438" s="1718"/>
      <c r="BD438" s="1718"/>
      <c r="BE438" s="1718"/>
      <c r="BF438" s="1718"/>
      <c r="BG438" s="1718"/>
      <c r="BH438" s="1718"/>
      <c r="BI438" s="413"/>
      <c r="BJ438" s="12"/>
    </row>
    <row r="439" spans="1:62" ht="92.25" hidden="1" customHeight="1">
      <c r="A439" s="16">
        <f>OBRA!K437</f>
        <v>2020</v>
      </c>
      <c r="B439" s="781" t="s">
        <v>2094</v>
      </c>
      <c r="C439" s="781">
        <v>201.09</v>
      </c>
      <c r="D439" s="781"/>
      <c r="E439" s="2" t="str">
        <f>OBRA!N437</f>
        <v>EMP P/LA REACTIVACIÓN ECONÓMICA EN MPIOS</v>
      </c>
      <c r="F439" s="597" t="s">
        <v>3525</v>
      </c>
      <c r="G439" s="156" t="s">
        <v>2864</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3985</v>
      </c>
      <c r="L439" s="3" t="s">
        <v>4755</v>
      </c>
      <c r="M439" s="674" t="s">
        <v>3986</v>
      </c>
      <c r="N439" s="674" t="s">
        <v>2518</v>
      </c>
      <c r="O439" s="505" t="s">
        <v>4192</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4125</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1551">
        <v>20.338339000000001</v>
      </c>
      <c r="AM439" s="1552">
        <v>103.381462</v>
      </c>
      <c r="AN439" s="565"/>
      <c r="AO439" s="565"/>
      <c r="AP439" s="565"/>
      <c r="AQ439" s="565"/>
      <c r="AR439" s="784"/>
      <c r="AS439" s="1292"/>
      <c r="AT439" s="1849"/>
      <c r="AU439" s="1849"/>
      <c r="AV439" s="1849"/>
      <c r="AW439" s="1849"/>
      <c r="AX439" s="1849"/>
      <c r="AY439" s="1849"/>
      <c r="AZ439" s="1849"/>
      <c r="BA439" s="1849"/>
      <c r="BB439" s="1718"/>
      <c r="BC439" s="1718"/>
      <c r="BD439" s="1718"/>
      <c r="BE439" s="1718"/>
      <c r="BF439" s="1718"/>
      <c r="BG439" s="1718"/>
      <c r="BH439" s="1718"/>
      <c r="BI439" s="413"/>
      <c r="BJ439" s="12"/>
    </row>
    <row r="440" spans="1:62" ht="86.25" hidden="1" customHeight="1">
      <c r="A440" s="16">
        <f>OBRA!K438</f>
        <v>2020</v>
      </c>
      <c r="B440" s="781" t="s">
        <v>2094</v>
      </c>
      <c r="C440" s="781">
        <v>201.09100000000001</v>
      </c>
      <c r="D440" s="781"/>
      <c r="E440" s="2" t="str">
        <f>OBRA!N438</f>
        <v>EMP P/LA REACTIVACIÓN ECONÓMICA EN MPIOS</v>
      </c>
      <c r="F440" s="597" t="s">
        <v>3525</v>
      </c>
      <c r="G440" s="156" t="s">
        <v>2864</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3985</v>
      </c>
      <c r="L440" s="3" t="s">
        <v>4755</v>
      </c>
      <c r="M440" s="674" t="s">
        <v>3987</v>
      </c>
      <c r="N440" s="674" t="s">
        <v>2518</v>
      </c>
      <c r="O440" s="505" t="s">
        <v>4192</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3487</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1551">
        <v>20.338339000000001</v>
      </c>
      <c r="AM440" s="1552">
        <v>103.381462</v>
      </c>
      <c r="AN440" s="1247" t="s">
        <v>3541</v>
      </c>
      <c r="AO440" s="1247" t="s">
        <v>3541</v>
      </c>
      <c r="AP440" s="565"/>
      <c r="AQ440" s="565"/>
      <c r="AR440" s="784"/>
      <c r="AS440" s="1292"/>
      <c r="AT440" s="1849"/>
      <c r="AU440" s="1849"/>
      <c r="AV440" s="1849"/>
      <c r="AW440" s="1849"/>
      <c r="AX440" s="1849"/>
      <c r="AY440" s="1849"/>
      <c r="AZ440" s="1849"/>
      <c r="BA440" s="1849"/>
      <c r="BB440" s="1718"/>
      <c r="BC440" s="1718"/>
      <c r="BD440" s="1718"/>
      <c r="BE440" s="1718"/>
      <c r="BF440" s="1718"/>
      <c r="BG440" s="1718"/>
      <c r="BH440" s="1718"/>
      <c r="BI440" s="413"/>
      <c r="BJ440" s="12"/>
    </row>
    <row r="441" spans="1:62" ht="60" hidden="1" customHeight="1">
      <c r="A441" s="16">
        <f>OBRA!K439</f>
        <v>2020</v>
      </c>
      <c r="B441" s="781" t="s">
        <v>2094</v>
      </c>
      <c r="C441" s="781">
        <v>201.09200000000001</v>
      </c>
      <c r="D441" s="781"/>
      <c r="E441" s="2" t="str">
        <f>OBRA!N439</f>
        <v>CTA-CTE / EMP P REACT ECO MPIOS</v>
      </c>
      <c r="F441" s="597" t="s">
        <v>3525</v>
      </c>
      <c r="G441" s="156" t="s">
        <v>2864</v>
      </c>
      <c r="H441" s="413" t="str">
        <f>OBRA!O439</f>
        <v>DOP/AD/009-A/2020</v>
      </c>
      <c r="I441" s="2" t="str">
        <f>OBRA!P439</f>
        <v>ADMINISTRACIÓN DIRECTA</v>
      </c>
      <c r="J441" s="3" t="str">
        <f>OBRA!Q439</f>
        <v>CONSTRUCCIÓN DE EMPEDRADO ZAMPEADO, EN LA LOCALIDAD DE POTRERILLOS DEL MUNICIPIO DE JOCOTEPEC, JALISCO</v>
      </c>
      <c r="K441" s="3" t="s">
        <v>3985</v>
      </c>
      <c r="L441" s="3" t="s">
        <v>4755</v>
      </c>
      <c r="M441" s="674" t="s">
        <v>3988</v>
      </c>
      <c r="N441" s="674" t="s">
        <v>2518</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3487</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1551" t="s">
        <v>67</v>
      </c>
      <c r="AM441" s="1552" t="s">
        <v>67</v>
      </c>
      <c r="AN441" s="1247" t="s">
        <v>3541</v>
      </c>
      <c r="AO441" s="1247" t="s">
        <v>3541</v>
      </c>
      <c r="AP441" s="1247" t="s">
        <v>3541</v>
      </c>
      <c r="AQ441" s="565"/>
      <c r="AR441" s="784"/>
      <c r="AS441" s="1292"/>
      <c r="AT441" s="1849"/>
      <c r="AU441" s="1849"/>
      <c r="AV441" s="1849"/>
      <c r="AW441" s="1849"/>
      <c r="AX441" s="1849"/>
      <c r="AY441" s="1849"/>
      <c r="AZ441" s="1849"/>
      <c r="BA441" s="1849"/>
      <c r="BB441" s="1718"/>
      <c r="BC441" s="1718"/>
      <c r="BD441" s="1718"/>
      <c r="BE441" s="1718"/>
      <c r="BF441" s="1718"/>
      <c r="BG441" s="1718"/>
      <c r="BH441" s="1718"/>
      <c r="BI441" s="413"/>
      <c r="BJ441" s="12"/>
    </row>
    <row r="442" spans="1:62" ht="72" hidden="1" customHeight="1">
      <c r="A442" s="16">
        <f>OBRA!K440</f>
        <v>2020</v>
      </c>
      <c r="B442" s="781" t="s">
        <v>2094</v>
      </c>
      <c r="C442" s="781">
        <v>201.1</v>
      </c>
      <c r="D442" s="781"/>
      <c r="E442" s="2" t="str">
        <f>OBRA!N440</f>
        <v>EMP P/LA REACTIVACIÓN ECONÓMICA EN MPIOS</v>
      </c>
      <c r="F442" s="597" t="s">
        <v>3525</v>
      </c>
      <c r="G442" s="156" t="s">
        <v>2864</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3985</v>
      </c>
      <c r="L442" s="3" t="s">
        <v>4755</v>
      </c>
      <c r="M442" s="674" t="s">
        <v>3989</v>
      </c>
      <c r="N442" s="674" t="s">
        <v>1976</v>
      </c>
      <c r="O442" s="505" t="s">
        <v>4193</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4125</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1551">
        <v>20.223068999999999</v>
      </c>
      <c r="AM442" s="1552">
        <v>103.360921</v>
      </c>
      <c r="AN442" s="565"/>
      <c r="AO442" s="565"/>
      <c r="AP442" s="565"/>
      <c r="AQ442" s="565"/>
      <c r="AR442" s="784"/>
      <c r="AS442" s="1292"/>
      <c r="AT442" s="1849"/>
      <c r="AU442" s="1849"/>
      <c r="AV442" s="1849"/>
      <c r="AW442" s="1849"/>
      <c r="AX442" s="1849"/>
      <c r="AY442" s="1849"/>
      <c r="AZ442" s="1849"/>
      <c r="BA442" s="1849"/>
      <c r="BB442" s="1718"/>
      <c r="BC442" s="1718"/>
      <c r="BD442" s="1718"/>
      <c r="BE442" s="1718"/>
      <c r="BF442" s="1718"/>
      <c r="BG442" s="1718"/>
      <c r="BH442" s="1718"/>
      <c r="BI442" s="413"/>
      <c r="BJ442" s="12"/>
    </row>
    <row r="443" spans="1:62" ht="90" hidden="1" customHeight="1">
      <c r="A443" s="16">
        <f>OBRA!K441</f>
        <v>2020</v>
      </c>
      <c r="B443" s="781" t="s">
        <v>2094</v>
      </c>
      <c r="C443" s="781">
        <v>201.101</v>
      </c>
      <c r="D443" s="781"/>
      <c r="E443" s="2" t="str">
        <f>OBRA!N441</f>
        <v>CTA-CTE / EMP P REACT ECO MPIOS</v>
      </c>
      <c r="F443" s="597" t="s">
        <v>3525</v>
      </c>
      <c r="G443" s="156" t="s">
        <v>2864</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3985</v>
      </c>
      <c r="L443" s="3" t="s">
        <v>4755</v>
      </c>
      <c r="M443" s="674" t="s">
        <v>3989</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3487</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1551">
        <v>20.223068999999999</v>
      </c>
      <c r="AM443" s="1552">
        <v>103.360921</v>
      </c>
      <c r="AN443" s="1247" t="s">
        <v>3533</v>
      </c>
      <c r="AO443" s="1247" t="s">
        <v>3533</v>
      </c>
      <c r="AP443" s="1247" t="s">
        <v>3533</v>
      </c>
      <c r="AQ443" s="1248" t="s">
        <v>3533</v>
      </c>
      <c r="AR443" s="1248"/>
      <c r="AS443" s="1292"/>
      <c r="AT443" s="1849"/>
      <c r="AU443" s="1849"/>
      <c r="AV443" s="1849"/>
      <c r="AW443" s="1849"/>
      <c r="AX443" s="1849"/>
      <c r="AY443" s="1849"/>
      <c r="AZ443" s="1849"/>
      <c r="BA443" s="1849"/>
      <c r="BB443" s="1718"/>
      <c r="BC443" s="1718"/>
      <c r="BD443" s="1718"/>
      <c r="BE443" s="1718"/>
      <c r="BF443" s="1718"/>
      <c r="BG443" s="1718"/>
      <c r="BH443" s="1718"/>
      <c r="BI443" s="413"/>
      <c r="BJ443" s="12"/>
    </row>
    <row r="444" spans="1:62" ht="84.75" hidden="1" customHeight="1">
      <c r="A444" s="16">
        <f>OBRA!K442</f>
        <v>2020</v>
      </c>
      <c r="B444" s="781" t="s">
        <v>2094</v>
      </c>
      <c r="C444" s="781">
        <v>201.11</v>
      </c>
      <c r="D444" s="781"/>
      <c r="E444" s="2" t="str">
        <f>OBRA!N442</f>
        <v>EMP P/LA REACTIVACIÓN ECONÓMICA EN MPIOS</v>
      </c>
      <c r="F444" s="597" t="s">
        <v>3525</v>
      </c>
      <c r="G444" s="156" t="s">
        <v>2864</v>
      </c>
      <c r="H444" s="413" t="str">
        <f>OBRA!O442</f>
        <v>DOP/AD/011/2020</v>
      </c>
      <c r="I444" s="2" t="str">
        <f>OBRA!P442</f>
        <v>ADMINISTRACIÓN DIRECTA</v>
      </c>
      <c r="J444" s="3" t="str">
        <f>OBRA!Q442</f>
        <v>CONSTRUCCIÓN DE EMPEDRADO ZAMPEADO EN CALLES DE LA AGENCIA DE EL SAUZ</v>
      </c>
      <c r="K444" s="3" t="s">
        <v>3985</v>
      </c>
      <c r="L444" s="3" t="s">
        <v>4755</v>
      </c>
      <c r="M444" s="674" t="s">
        <v>3990</v>
      </c>
      <c r="N444" s="674" t="s">
        <v>2506</v>
      </c>
      <c r="O444" s="505" t="s">
        <v>4022</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4125</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1551" t="s">
        <v>67</v>
      </c>
      <c r="AM444" s="1552" t="s">
        <v>67</v>
      </c>
      <c r="AN444" s="565" t="s">
        <v>4022</v>
      </c>
      <c r="AO444" s="565"/>
      <c r="AP444" s="565"/>
      <c r="AQ444" s="565"/>
      <c r="AR444" s="784"/>
      <c r="AS444" s="1292"/>
      <c r="AT444" s="1849"/>
      <c r="AU444" s="1849"/>
      <c r="AV444" s="1849"/>
      <c r="AW444" s="1849"/>
      <c r="AX444" s="1849"/>
      <c r="AY444" s="1849"/>
      <c r="AZ444" s="1849"/>
      <c r="BA444" s="1849"/>
      <c r="BB444" s="1718"/>
      <c r="BC444" s="1718"/>
      <c r="BD444" s="1718"/>
      <c r="BE444" s="1718"/>
      <c r="BF444" s="1718"/>
      <c r="BG444" s="1718"/>
      <c r="BH444" s="1718"/>
      <c r="BI444" s="413"/>
      <c r="BJ444" s="12"/>
    </row>
    <row r="445" spans="1:62" ht="92.25" hidden="1" customHeight="1">
      <c r="A445" s="16">
        <f>OBRA!K443</f>
        <v>2020</v>
      </c>
      <c r="B445" s="781" t="s">
        <v>2094</v>
      </c>
      <c r="C445" s="781">
        <v>201.11099999999999</v>
      </c>
      <c r="D445" s="781"/>
      <c r="E445" s="2" t="str">
        <f>OBRA!N443</f>
        <v>CTA-CTE / EMP P REACT ECO MPIOS</v>
      </c>
      <c r="F445" s="597" t="s">
        <v>3525</v>
      </c>
      <c r="G445" s="156" t="s">
        <v>2864</v>
      </c>
      <c r="H445" s="413" t="str">
        <f>OBRA!O443</f>
        <v>DOP/AD/011-A/2020</v>
      </c>
      <c r="I445" s="2" t="str">
        <f>OBRA!P443</f>
        <v>ADMINISTRACIÓN DIRECTA</v>
      </c>
      <c r="J445" s="3" t="str">
        <f>OBRA!Q443</f>
        <v>CONSTRUCCIÓN DE EMPEDRADO ZAMPEADO, EN LA AGENCIA DE EL SAUZ</v>
      </c>
      <c r="K445" s="3" t="s">
        <v>3985</v>
      </c>
      <c r="L445" s="3" t="s">
        <v>4755</v>
      </c>
      <c r="M445" s="674" t="s">
        <v>3990</v>
      </c>
      <c r="N445" s="674" t="s">
        <v>2506</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3487</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1551" t="s">
        <v>67</v>
      </c>
      <c r="AM445" s="1552" t="s">
        <v>67</v>
      </c>
      <c r="AN445" s="1247" t="s">
        <v>3536</v>
      </c>
      <c r="AO445" s="1247" t="s">
        <v>3536</v>
      </c>
      <c r="AP445" s="1247" t="s">
        <v>3536</v>
      </c>
      <c r="AQ445" s="1247" t="s">
        <v>3536</v>
      </c>
      <c r="AR445" s="1311"/>
      <c r="AS445" s="1292"/>
      <c r="AT445" s="1849"/>
      <c r="AU445" s="1849"/>
      <c r="AV445" s="1849"/>
      <c r="AW445" s="1849"/>
      <c r="AX445" s="1849"/>
      <c r="AY445" s="1849"/>
      <c r="AZ445" s="1849"/>
      <c r="BA445" s="1849"/>
      <c r="BB445" s="1718"/>
      <c r="BC445" s="1718"/>
      <c r="BD445" s="1718"/>
      <c r="BE445" s="1718"/>
      <c r="BF445" s="1718"/>
      <c r="BG445" s="1718"/>
      <c r="BH445" s="1718"/>
      <c r="BI445" s="413"/>
      <c r="BJ445" s="12"/>
    </row>
    <row r="446" spans="1:62" ht="72.75" hidden="1" customHeight="1">
      <c r="A446" s="16">
        <f>OBRA!K444</f>
        <v>2020</v>
      </c>
      <c r="B446" s="781" t="s">
        <v>2094</v>
      </c>
      <c r="C446" s="781">
        <v>201.12</v>
      </c>
      <c r="D446" s="781"/>
      <c r="E446" s="2" t="str">
        <f>OBRA!N444</f>
        <v>EMP P/LA REACTIVACIÓN ECONÓMICA EN MPIOS</v>
      </c>
      <c r="F446" s="597" t="s">
        <v>3525</v>
      </c>
      <c r="G446" s="156" t="s">
        <v>2864</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3985</v>
      </c>
      <c r="L446" s="3" t="s">
        <v>4755</v>
      </c>
      <c r="M446" s="674" t="s">
        <v>3991</v>
      </c>
      <c r="N446" s="674" t="s">
        <v>2616</v>
      </c>
      <c r="O446" s="505" t="s">
        <v>4194</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4125</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1551">
        <v>20.315778000000002</v>
      </c>
      <c r="AM446" s="1552">
        <v>103.420536</v>
      </c>
      <c r="AN446" s="565"/>
      <c r="AO446" s="565"/>
      <c r="AP446" s="565"/>
      <c r="AQ446" s="565"/>
      <c r="AR446" s="784"/>
      <c r="AS446" s="1292"/>
      <c r="AT446" s="1849"/>
      <c r="AU446" s="1849"/>
      <c r="AV446" s="1849"/>
      <c r="AW446" s="1849"/>
      <c r="AX446" s="1849"/>
      <c r="AY446" s="1849"/>
      <c r="AZ446" s="1849"/>
      <c r="BA446" s="1849"/>
      <c r="BB446" s="1718"/>
      <c r="BC446" s="1718"/>
      <c r="BD446" s="1718"/>
      <c r="BE446" s="1718"/>
      <c r="BF446" s="1718"/>
      <c r="BG446" s="1718"/>
      <c r="BH446" s="1718"/>
      <c r="BI446" s="413"/>
      <c r="BJ446" s="12"/>
    </row>
    <row r="447" spans="1:62" ht="93.75" hidden="1" customHeight="1">
      <c r="A447" s="16">
        <f>OBRA!K445</f>
        <v>2020</v>
      </c>
      <c r="B447" s="781" t="s">
        <v>2094</v>
      </c>
      <c r="C447" s="781">
        <v>201.12100000000001</v>
      </c>
      <c r="D447" s="781"/>
      <c r="E447" s="2" t="str">
        <f>OBRA!N445</f>
        <v>CTA-CTE / EMP P REACT ECO MPIOS</v>
      </c>
      <c r="F447" s="597" t="s">
        <v>3525</v>
      </c>
      <c r="G447" s="156" t="s">
        <v>2864</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3985</v>
      </c>
      <c r="L447" s="3" t="s">
        <v>4755</v>
      </c>
      <c r="M447" s="674" t="s">
        <v>3991</v>
      </c>
      <c r="N447" s="674" t="s">
        <v>2616</v>
      </c>
      <c r="O447" s="505" t="s">
        <v>4194</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3487</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1551">
        <v>20.315778000000002</v>
      </c>
      <c r="AM447" s="1552">
        <v>103.420536</v>
      </c>
      <c r="AN447" s="1247" t="s">
        <v>3532</v>
      </c>
      <c r="AO447" s="1247" t="s">
        <v>3532</v>
      </c>
      <c r="AP447" s="1247" t="s">
        <v>3532</v>
      </c>
      <c r="AQ447" s="1248" t="s">
        <v>3532</v>
      </c>
      <c r="AR447" s="1248"/>
      <c r="AS447" s="1292"/>
      <c r="AT447" s="1849"/>
      <c r="AU447" s="1849"/>
      <c r="AV447" s="1849"/>
      <c r="AW447" s="1849"/>
      <c r="AX447" s="1849"/>
      <c r="AY447" s="1849"/>
      <c r="AZ447" s="1849"/>
      <c r="BA447" s="1849"/>
      <c r="BB447" s="1718"/>
      <c r="BC447" s="1718"/>
      <c r="BD447" s="1718"/>
      <c r="BE447" s="1718"/>
      <c r="BF447" s="1718"/>
      <c r="BG447" s="1718"/>
      <c r="BH447" s="1718"/>
      <c r="BI447" s="413"/>
      <c r="BJ447" s="12"/>
    </row>
    <row r="448" spans="1:62" ht="90" hidden="1" customHeight="1">
      <c r="A448" s="16">
        <f>OBRA!K446</f>
        <v>2020</v>
      </c>
      <c r="B448" s="781" t="s">
        <v>2094</v>
      </c>
      <c r="C448" s="781">
        <v>201.13</v>
      </c>
      <c r="D448" s="781"/>
      <c r="E448" s="2" t="str">
        <f>OBRA!N446</f>
        <v>EMP P/LA REACTIVACIÓN ECONÓMICA EN MPIOS</v>
      </c>
      <c r="F448" s="597" t="s">
        <v>3525</v>
      </c>
      <c r="G448" s="156" t="s">
        <v>2864</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3985</v>
      </c>
      <c r="L448" s="3" t="s">
        <v>4755</v>
      </c>
      <c r="M448" s="674" t="s">
        <v>3992</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4125</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1551" t="s">
        <v>67</v>
      </c>
      <c r="AM448" s="1552" t="s">
        <v>67</v>
      </c>
      <c r="AN448" s="565"/>
      <c r="AO448" s="565"/>
      <c r="AP448" s="565"/>
      <c r="AQ448" s="565"/>
      <c r="AR448" s="784"/>
      <c r="AS448" s="1292"/>
      <c r="AT448" s="1849"/>
      <c r="AU448" s="1849"/>
      <c r="AV448" s="1849"/>
      <c r="AW448" s="1849"/>
      <c r="AX448" s="1849"/>
      <c r="AY448" s="1849"/>
      <c r="AZ448" s="1849"/>
      <c r="BA448" s="1849"/>
      <c r="BB448" s="1718"/>
      <c r="BC448" s="1718"/>
      <c r="BD448" s="1718"/>
      <c r="BE448" s="1718"/>
      <c r="BF448" s="1718"/>
      <c r="BG448" s="1718"/>
      <c r="BH448" s="1718"/>
      <c r="BI448" s="413"/>
      <c r="BJ448" s="12"/>
    </row>
    <row r="449" spans="1:62" ht="78.75" hidden="1" customHeight="1">
      <c r="A449" s="16">
        <f>OBRA!K447</f>
        <v>2020</v>
      </c>
      <c r="B449" s="781" t="s">
        <v>2094</v>
      </c>
      <c r="C449" s="781">
        <v>201.131</v>
      </c>
      <c r="D449" s="781"/>
      <c r="E449" s="2" t="str">
        <f>OBRA!N447</f>
        <v>CTA-CTE / EMP P REACT ECO MPIOS</v>
      </c>
      <c r="F449" s="597" t="s">
        <v>3525</v>
      </c>
      <c r="G449" s="156" t="s">
        <v>2864</v>
      </c>
      <c r="H449" s="413" t="str">
        <f>OBRA!O447</f>
        <v>DOP/AD/013-A/2020</v>
      </c>
      <c r="I449" s="2" t="str">
        <f>OBRA!P447</f>
        <v>ADMINISTRACIÓN DIRECTA</v>
      </c>
      <c r="J449" s="3" t="str">
        <f>OBRA!Q447</f>
        <v>CONSTRUCCIÓN DE EMPEDRADO ZAMPEADO, EN FRACC. "EL CARRIZAL", EN LA CABECERA MUNICIPAL DE JOCOTEPEC JALISCO.</v>
      </c>
      <c r="K449" s="3" t="s">
        <v>3985</v>
      </c>
      <c r="L449" s="3" t="s">
        <v>4755</v>
      </c>
      <c r="M449" s="674" t="s">
        <v>3992</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3487</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1551" t="s">
        <v>67</v>
      </c>
      <c r="AM449" s="1552" t="s">
        <v>67</v>
      </c>
      <c r="AN449" s="1247" t="s">
        <v>3537</v>
      </c>
      <c r="AO449" s="1247" t="s">
        <v>3537</v>
      </c>
      <c r="AP449" s="1247" t="s">
        <v>3537</v>
      </c>
      <c r="AQ449" s="565"/>
      <c r="AR449" s="784"/>
      <c r="AS449" s="1292"/>
      <c r="AT449" s="1849"/>
      <c r="AU449" s="1849"/>
      <c r="AV449" s="1849"/>
      <c r="AW449" s="1849"/>
      <c r="AX449" s="1849"/>
      <c r="AY449" s="1849"/>
      <c r="AZ449" s="1849"/>
      <c r="BA449" s="1849"/>
      <c r="BB449" s="1718"/>
      <c r="BC449" s="1718"/>
      <c r="BD449" s="1718"/>
      <c r="BE449" s="1718"/>
      <c r="BF449" s="1718"/>
      <c r="BG449" s="1718"/>
      <c r="BH449" s="1718"/>
      <c r="BI449" s="413"/>
      <c r="BJ449" s="12"/>
    </row>
    <row r="450" spans="1:62" ht="82.5" hidden="1" customHeight="1">
      <c r="A450" s="16">
        <f>OBRA!K448</f>
        <v>2020</v>
      </c>
      <c r="B450" s="781" t="s">
        <v>2094</v>
      </c>
      <c r="C450" s="781">
        <v>201.14</v>
      </c>
      <c r="D450" s="1476" t="s">
        <v>4024</v>
      </c>
      <c r="E450" s="2" t="str">
        <f>OBRA!N448</f>
        <v>EMP P/LA REACTIVACIÓN ECONÓMICA EN MPIOS</v>
      </c>
      <c r="F450" s="597" t="s">
        <v>3525</v>
      </c>
      <c r="G450" s="156" t="s">
        <v>2864</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3985</v>
      </c>
      <c r="L450" s="3" t="s">
        <v>4755</v>
      </c>
      <c r="M450" s="674" t="s">
        <v>3993</v>
      </c>
      <c r="N450" s="674" t="s">
        <v>1975</v>
      </c>
      <c r="O450" s="505" t="s">
        <v>4027</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4029</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1551">
        <v>20.279517999999999</v>
      </c>
      <c r="AM450" s="1552">
        <v>103.43153</v>
      </c>
      <c r="AN450" s="565"/>
      <c r="AO450" s="565"/>
      <c r="AP450" s="565"/>
      <c r="AQ450" s="565"/>
      <c r="AR450" s="784"/>
      <c r="AS450" s="1292"/>
      <c r="AT450" s="1849"/>
      <c r="AU450" s="1849"/>
      <c r="AV450" s="1849"/>
      <c r="AW450" s="1849"/>
      <c r="AX450" s="1849"/>
      <c r="AY450" s="1849"/>
      <c r="AZ450" s="1849"/>
      <c r="BA450" s="1849"/>
      <c r="BB450" s="1718"/>
      <c r="BC450" s="1718"/>
      <c r="BD450" s="1718"/>
      <c r="BE450" s="1718"/>
      <c r="BF450" s="1718"/>
      <c r="BG450" s="1718"/>
      <c r="BH450" s="1718"/>
      <c r="BI450" s="413"/>
      <c r="BJ450" s="12"/>
    </row>
    <row r="451" spans="1:62" ht="86.25" hidden="1" customHeight="1">
      <c r="A451" s="16">
        <f>OBRA!K449</f>
        <v>2020</v>
      </c>
      <c r="B451" s="781" t="s">
        <v>2094</v>
      </c>
      <c r="C451" s="781">
        <v>201.14099999999999</v>
      </c>
      <c r="D451" s="1476" t="s">
        <v>4024</v>
      </c>
      <c r="E451" s="2" t="str">
        <f>OBRA!N449</f>
        <v>CTA-CTE / EMP P REACT ECO MPIOS</v>
      </c>
      <c r="F451" s="597" t="s">
        <v>3525</v>
      </c>
      <c r="G451" s="156" t="s">
        <v>2864</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3985</v>
      </c>
      <c r="L451" s="3" t="s">
        <v>4755</v>
      </c>
      <c r="M451" s="674" t="s">
        <v>3993</v>
      </c>
      <c r="N451" s="674" t="s">
        <v>1975</v>
      </c>
      <c r="O451" s="505" t="s">
        <v>4027</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3487</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1551">
        <v>20.279517999999999</v>
      </c>
      <c r="AM451" s="1552">
        <v>103.43153</v>
      </c>
      <c r="AN451" s="1247" t="s">
        <v>3534</v>
      </c>
      <c r="AO451" s="1247" t="s">
        <v>3534</v>
      </c>
      <c r="AP451" s="565"/>
      <c r="AQ451" s="565"/>
      <c r="AR451" s="784"/>
      <c r="AS451" s="1292"/>
      <c r="AT451" s="1849"/>
      <c r="AU451" s="1849"/>
      <c r="AV451" s="1849"/>
      <c r="AW451" s="1849"/>
      <c r="AX451" s="1849"/>
      <c r="AY451" s="1849"/>
      <c r="AZ451" s="1849"/>
      <c r="BA451" s="1849"/>
      <c r="BB451" s="1718"/>
      <c r="BC451" s="1718"/>
      <c r="BD451" s="1718"/>
      <c r="BE451" s="1718"/>
      <c r="BF451" s="1718"/>
      <c r="BG451" s="1718"/>
      <c r="BH451" s="1718"/>
      <c r="BI451" s="413"/>
      <c r="BJ451" s="12"/>
    </row>
    <row r="452" spans="1:62" ht="101.25" hidden="1" customHeight="1">
      <c r="A452" s="16">
        <f>OBRA!K450</f>
        <v>2020</v>
      </c>
      <c r="B452" s="781" t="s">
        <v>2094</v>
      </c>
      <c r="C452" s="781">
        <v>201.15</v>
      </c>
      <c r="D452" s="781"/>
      <c r="E452" s="2" t="str">
        <f>OBRA!N450</f>
        <v>EMP P/LA REACTIVACIÓN ECONÓMICA EN MPIOS</v>
      </c>
      <c r="F452" s="597" t="s">
        <v>3525</v>
      </c>
      <c r="G452" s="156" t="s">
        <v>2864</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3985</v>
      </c>
      <c r="L452" s="3" t="s">
        <v>4755</v>
      </c>
      <c r="M452" s="674" t="s">
        <v>3994</v>
      </c>
      <c r="N452" s="674" t="s">
        <v>1975</v>
      </c>
      <c r="O452" s="505" t="s">
        <v>4195</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4125</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1551" t="s">
        <v>67</v>
      </c>
      <c r="AM452" s="1552" t="s">
        <v>67</v>
      </c>
      <c r="AN452" s="565"/>
      <c r="AO452" s="565"/>
      <c r="AP452" s="565"/>
      <c r="AQ452" s="565"/>
      <c r="AR452" s="784"/>
      <c r="AS452" s="1292"/>
      <c r="AT452" s="1849"/>
      <c r="AU452" s="1849"/>
      <c r="AV452" s="1849"/>
      <c r="AW452" s="1849"/>
      <c r="AX452" s="1849"/>
      <c r="AY452" s="1849"/>
      <c r="AZ452" s="1849"/>
      <c r="BA452" s="1849"/>
      <c r="BB452" s="1718"/>
      <c r="BC452" s="1718"/>
      <c r="BD452" s="1718"/>
      <c r="BE452" s="1718"/>
      <c r="BF452" s="1718"/>
      <c r="BG452" s="1718"/>
      <c r="BH452" s="1718"/>
      <c r="BI452" s="413"/>
      <c r="BJ452" s="12"/>
    </row>
    <row r="453" spans="1:62" ht="81.75" hidden="1" customHeight="1">
      <c r="A453" s="16">
        <f>OBRA!K451</f>
        <v>2020</v>
      </c>
      <c r="B453" s="781" t="s">
        <v>2094</v>
      </c>
      <c r="C453" s="781">
        <v>201.15100000000001</v>
      </c>
      <c r="D453" s="781"/>
      <c r="E453" s="2" t="str">
        <f>OBRA!N451</f>
        <v>EMP P/LA REACTIVACIÓN ECONÓMICA EN MPIOS</v>
      </c>
      <c r="F453" s="597" t="s">
        <v>3525</v>
      </c>
      <c r="G453" s="156" t="s">
        <v>2864</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3985</v>
      </c>
      <c r="L453" s="3" t="s">
        <v>4755</v>
      </c>
      <c r="M453" s="674" t="s">
        <v>3995</v>
      </c>
      <c r="N453" s="674" t="s">
        <v>2515</v>
      </c>
      <c r="O453" s="505" t="s">
        <v>4195</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3487</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1551">
        <v>20.277894</v>
      </c>
      <c r="AM453" s="1552">
        <v>103.435349</v>
      </c>
      <c r="AN453" s="1247" t="s">
        <v>3538</v>
      </c>
      <c r="AO453" s="1247" t="s">
        <v>3538</v>
      </c>
      <c r="AP453" s="1247" t="s">
        <v>3538</v>
      </c>
      <c r="AQ453" s="565"/>
      <c r="AR453" s="784"/>
      <c r="AS453" s="1292"/>
      <c r="AT453" s="1849"/>
      <c r="AU453" s="1849"/>
      <c r="AV453" s="1849"/>
      <c r="AW453" s="1849"/>
      <c r="AX453" s="1849"/>
      <c r="AY453" s="1849"/>
      <c r="AZ453" s="1849"/>
      <c r="BA453" s="1849"/>
      <c r="BB453" s="1718"/>
      <c r="BC453" s="1718"/>
      <c r="BD453" s="1718"/>
      <c r="BE453" s="1718"/>
      <c r="BF453" s="1718"/>
      <c r="BG453" s="1718"/>
      <c r="BH453" s="1718"/>
      <c r="BI453" s="413"/>
      <c r="BJ453" s="12"/>
    </row>
    <row r="454" spans="1:62" ht="77.25" hidden="1" customHeight="1">
      <c r="A454" s="16">
        <f>OBRA!K452</f>
        <v>2020</v>
      </c>
      <c r="B454" s="781" t="s">
        <v>2094</v>
      </c>
      <c r="C454" s="781">
        <v>201.15199999999999</v>
      </c>
      <c r="D454" s="781"/>
      <c r="E454" s="2" t="str">
        <f>OBRA!N452</f>
        <v>CTA-CTE / EMP P REACT ECO MPIOS</v>
      </c>
      <c r="F454" s="597" t="s">
        <v>3525</v>
      </c>
      <c r="G454" s="156" t="s">
        <v>2864</v>
      </c>
      <c r="H454" s="413" t="str">
        <f>OBRA!O452</f>
        <v>DOP/AD/015-A/2020</v>
      </c>
      <c r="I454" s="2" t="str">
        <f>OBRA!P452</f>
        <v>ADMINISTRACIÓN DIRECTA</v>
      </c>
      <c r="J454" s="3" t="str">
        <f>OBRA!Q452</f>
        <v>CONSTRUCCIÓN DE EMPEDRADO ZAMPEADO EN FRACC. "LAS PALMAS", EN LA CABECERA MUNICIPAL DE JOCOTEPEC, JALISCO.</v>
      </c>
      <c r="K454" s="3" t="s">
        <v>3985</v>
      </c>
      <c r="L454" s="3" t="s">
        <v>4755</v>
      </c>
      <c r="M454" s="674" t="s">
        <v>3994</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3487</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1551" t="s">
        <v>67</v>
      </c>
      <c r="AM454" s="1552" t="s">
        <v>67</v>
      </c>
      <c r="AN454" s="1247" t="s">
        <v>3538</v>
      </c>
      <c r="AO454" s="1247" t="s">
        <v>3538</v>
      </c>
      <c r="AP454" s="565"/>
      <c r="AQ454" s="565"/>
      <c r="AR454" s="784"/>
      <c r="AS454" s="1292"/>
      <c r="AT454" s="1849"/>
      <c r="AU454" s="1849"/>
      <c r="AV454" s="1849"/>
      <c r="AW454" s="1849"/>
      <c r="AX454" s="1849"/>
      <c r="AY454" s="1849"/>
      <c r="AZ454" s="1849"/>
      <c r="BA454" s="1849"/>
      <c r="BB454" s="1718"/>
      <c r="BC454" s="1718"/>
      <c r="BD454" s="1718"/>
      <c r="BE454" s="1718"/>
      <c r="BF454" s="1718"/>
      <c r="BG454" s="1718"/>
      <c r="BH454" s="1718"/>
      <c r="BI454" s="413"/>
      <c r="BJ454" s="12"/>
    </row>
    <row r="455" spans="1:62" ht="81.75" hidden="1" customHeight="1">
      <c r="A455" s="16">
        <f>OBRA!K453</f>
        <v>2020</v>
      </c>
      <c r="B455" s="781" t="s">
        <v>2094</v>
      </c>
      <c r="C455" s="781">
        <v>201.16</v>
      </c>
      <c r="D455" s="1476" t="s">
        <v>4024</v>
      </c>
      <c r="E455" s="2" t="str">
        <f>OBRA!N453</f>
        <v>EMP P/LA REACTIVACIÓN ECONÓMICA EN MPIOS</v>
      </c>
      <c r="F455" s="597" t="s">
        <v>3525</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3985</v>
      </c>
      <c r="L455" s="3" t="s">
        <v>4755</v>
      </c>
      <c r="M455" s="674" t="s">
        <v>3996</v>
      </c>
      <c r="N455" s="674" t="s">
        <v>1975</v>
      </c>
      <c r="O455" s="505" t="s">
        <v>4028</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4029</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1551" t="s">
        <v>67</v>
      </c>
      <c r="AM455" s="1552" t="s">
        <v>67</v>
      </c>
      <c r="AN455" s="565"/>
      <c r="AO455" s="565"/>
      <c r="AP455" s="565"/>
      <c r="AQ455" s="565"/>
      <c r="AR455" s="784"/>
      <c r="AS455" s="1292"/>
      <c r="AT455" s="1849"/>
      <c r="AU455" s="1849"/>
      <c r="AV455" s="1849"/>
      <c r="AW455" s="1849"/>
      <c r="AX455" s="1849"/>
      <c r="AY455" s="1849"/>
      <c r="AZ455" s="1849"/>
      <c r="BA455" s="1849"/>
      <c r="BB455" s="1718"/>
      <c r="BC455" s="1718"/>
      <c r="BD455" s="1718"/>
      <c r="BE455" s="1718"/>
      <c r="BF455" s="1718"/>
      <c r="BG455" s="1718"/>
      <c r="BH455" s="1718"/>
      <c r="BI455" s="413"/>
      <c r="BJ455" s="12"/>
    </row>
    <row r="456" spans="1:62" ht="90" hidden="1" customHeight="1">
      <c r="A456" s="16">
        <f>OBRA!K454</f>
        <v>2020</v>
      </c>
      <c r="B456" s="781" t="s">
        <v>2094</v>
      </c>
      <c r="C456" s="781">
        <v>201.161</v>
      </c>
      <c r="D456" s="1476" t="s">
        <v>4024</v>
      </c>
      <c r="E456" s="2" t="str">
        <f>OBRA!N454</f>
        <v>CTA-CTE / EMP P REACT ECO MPIOS</v>
      </c>
      <c r="F456" s="597" t="s">
        <v>3525</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3985</v>
      </c>
      <c r="L456" s="3" t="s">
        <v>4755</v>
      </c>
      <c r="M456" s="674" t="s">
        <v>3996</v>
      </c>
      <c r="N456" s="674" t="s">
        <v>1975</v>
      </c>
      <c r="O456" s="505" t="s">
        <v>4028</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3487</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1551" t="s">
        <v>67</v>
      </c>
      <c r="AM456" s="1552" t="s">
        <v>67</v>
      </c>
      <c r="AN456" s="1247" t="s">
        <v>3540</v>
      </c>
      <c r="AO456" s="1247" t="s">
        <v>3540</v>
      </c>
      <c r="AP456" s="1247" t="s">
        <v>3540</v>
      </c>
      <c r="AQ456" s="565"/>
      <c r="AR456" s="784"/>
      <c r="AS456" s="1292"/>
      <c r="AT456" s="1849"/>
      <c r="AU456" s="1849"/>
      <c r="AV456" s="1849"/>
      <c r="AW456" s="1849"/>
      <c r="AX456" s="1849"/>
      <c r="AY456" s="1849"/>
      <c r="AZ456" s="1849"/>
      <c r="BA456" s="1849"/>
      <c r="BB456" s="1718"/>
      <c r="BC456" s="1718"/>
      <c r="BD456" s="1718"/>
      <c r="BE456" s="1718"/>
      <c r="BF456" s="1718"/>
      <c r="BG456" s="1718"/>
      <c r="BH456" s="1718"/>
      <c r="BI456" s="413"/>
      <c r="BJ456" s="12"/>
    </row>
    <row r="457" spans="1:62" ht="79.5" hidden="1" customHeight="1">
      <c r="A457" s="16">
        <f>OBRA!K455</f>
        <v>2020</v>
      </c>
      <c r="B457" s="781" t="s">
        <v>2094</v>
      </c>
      <c r="C457" s="781">
        <v>205.01</v>
      </c>
      <c r="D457" s="781"/>
      <c r="E457" s="2" t="str">
        <f>OBRA!N455</f>
        <v>CUENTA CORRIENTE</v>
      </c>
      <c r="F457" s="597" t="s">
        <v>3525</v>
      </c>
      <c r="G457" s="156" t="s">
        <v>2864</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4196</v>
      </c>
      <c r="L457" s="1199"/>
      <c r="M457" s="674" t="s">
        <v>3978</v>
      </c>
      <c r="N457" s="674" t="s">
        <v>2666</v>
      </c>
      <c r="O457" s="1470" t="s">
        <v>3730</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5669</v>
      </c>
      <c r="AB457" s="148" t="s">
        <v>3002</v>
      </c>
      <c r="AC457" s="148" t="s">
        <v>2990</v>
      </c>
      <c r="AD457" s="146" t="s">
        <v>2991</v>
      </c>
      <c r="AE457" s="184" t="str">
        <f>OBRA!Y455</f>
        <v>ING. JUAN MANUEL GARCIA ESCOTO</v>
      </c>
      <c r="AF457" s="19">
        <f>AF456</f>
        <v>5527.87</v>
      </c>
      <c r="AG457" s="2" t="str">
        <f>AG456</f>
        <v>M2</v>
      </c>
      <c r="AH457" s="554">
        <f t="shared" si="27"/>
        <v>0</v>
      </c>
      <c r="AI457" s="2">
        <f>AI456</f>
        <v>500</v>
      </c>
      <c r="AJ457" s="514">
        <f>AJ456</f>
        <v>11000</v>
      </c>
      <c r="AK457" s="514"/>
      <c r="AL457" s="1542"/>
      <c r="AM457" s="1543"/>
      <c r="AN457" s="565"/>
      <c r="AO457" s="565"/>
      <c r="AP457" s="565"/>
      <c r="AQ457" s="565"/>
      <c r="AR457" s="784"/>
      <c r="AS457" s="1292"/>
      <c r="AT457" s="1718"/>
      <c r="AU457" s="1718"/>
      <c r="AV457" s="1718"/>
      <c r="AW457" s="1718"/>
      <c r="AX457" s="1718"/>
      <c r="AY457" s="1718"/>
      <c r="AZ457" s="1718"/>
      <c r="BA457" s="1718"/>
      <c r="BB457" s="1718"/>
      <c r="BC457" s="1718"/>
      <c r="BD457" s="1718"/>
      <c r="BE457" s="1718"/>
      <c r="BF457" s="1718"/>
      <c r="BG457" s="1718"/>
      <c r="BH457" s="1718"/>
      <c r="BI457" s="413"/>
      <c r="BJ457" s="12"/>
    </row>
    <row r="458" spans="1:62" ht="251.25" hidden="1" customHeight="1">
      <c r="A458" s="16">
        <f>OBRA!K456</f>
        <v>2020</v>
      </c>
      <c r="B458" s="781" t="s">
        <v>2094</v>
      </c>
      <c r="C458" s="781">
        <v>205.02</v>
      </c>
      <c r="D458" s="781"/>
      <c r="E458" s="2" t="str">
        <f>OBRA!N456</f>
        <v>CUENTA CORRIENTE</v>
      </c>
      <c r="F458" s="597" t="s">
        <v>3525</v>
      </c>
      <c r="G458" s="156" t="s">
        <v>2864</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4197</v>
      </c>
      <c r="L458" s="3"/>
      <c r="M458" s="674" t="s">
        <v>3978</v>
      </c>
      <c r="N458" s="674" t="s">
        <v>2666</v>
      </c>
      <c r="O458" s="1470" t="s">
        <v>3730</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5669</v>
      </c>
      <c r="AB458" s="148" t="s">
        <v>3786</v>
      </c>
      <c r="AC458" s="148" t="s">
        <v>3787</v>
      </c>
      <c r="AD458" s="146" t="s">
        <v>3788</v>
      </c>
      <c r="AE458" s="184" t="str">
        <f>OBRA!Y456</f>
        <v>ING. JUAN MANUEL GARCIA ESCOTO</v>
      </c>
      <c r="AF458" s="212">
        <v>1</v>
      </c>
      <c r="AG458" s="389" t="s">
        <v>1462</v>
      </c>
      <c r="AH458" s="554">
        <f t="shared" si="27"/>
        <v>0</v>
      </c>
      <c r="AI458" s="389">
        <v>2100</v>
      </c>
      <c r="AJ458" s="1536">
        <v>2100</v>
      </c>
      <c r="AK458" s="1536"/>
      <c r="AL458" s="1547"/>
      <c r="AM458" s="1548"/>
      <c r="AN458" s="1133" t="s">
        <v>67</v>
      </c>
      <c r="AO458" s="563" t="s">
        <v>67</v>
      </c>
      <c r="AP458" s="563" t="s">
        <v>67</v>
      </c>
      <c r="AQ458" s="507"/>
      <c r="AR458" s="507"/>
      <c r="AS458" s="1294" t="s">
        <v>67</v>
      </c>
      <c r="AT458" s="1718"/>
      <c r="AU458" s="1718"/>
      <c r="AV458" s="1718"/>
      <c r="AW458" s="1718"/>
      <c r="AX458" s="1718"/>
      <c r="AY458" s="1718"/>
      <c r="AZ458" s="1718"/>
      <c r="BA458" s="1718"/>
      <c r="BB458" s="1718"/>
      <c r="BC458" s="1718"/>
      <c r="BD458" s="1718"/>
      <c r="BE458" s="1718"/>
      <c r="BF458" s="1718"/>
      <c r="BG458" s="1718"/>
      <c r="BH458" s="1718"/>
      <c r="BI458" s="413"/>
      <c r="BJ458" s="12"/>
    </row>
    <row r="459" spans="1:62" ht="44.25" hidden="1" customHeight="1">
      <c r="A459" s="82">
        <f>OBRA!K457</f>
        <v>2020</v>
      </c>
      <c r="B459" s="782" t="s">
        <v>2094</v>
      </c>
      <c r="C459" s="782">
        <v>205.03</v>
      </c>
      <c r="D459" s="782"/>
      <c r="E459" s="85">
        <f>OBRA!N457</f>
        <v>0</v>
      </c>
      <c r="F459" s="1174" t="s">
        <v>3525</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1544"/>
      <c r="AM459" s="1545"/>
      <c r="AN459" s="1440" t="s">
        <v>67</v>
      </c>
      <c r="AO459" s="821" t="s">
        <v>67</v>
      </c>
      <c r="AP459" s="821" t="s">
        <v>67</v>
      </c>
      <c r="AQ459" s="515"/>
      <c r="AR459" s="515"/>
      <c r="AS459" s="1462" t="s">
        <v>67</v>
      </c>
      <c r="AT459" s="1827"/>
      <c r="AU459" s="1827"/>
      <c r="AV459" s="1827"/>
      <c r="AW459" s="1827"/>
      <c r="AX459" s="1827"/>
      <c r="AY459" s="1827"/>
      <c r="AZ459" s="1827"/>
      <c r="BA459" s="1827"/>
      <c r="BB459" s="1827"/>
      <c r="BC459" s="1827"/>
      <c r="BD459" s="1827"/>
      <c r="BE459" s="1827"/>
      <c r="BF459" s="1827"/>
      <c r="BG459" s="1827"/>
      <c r="BH459" s="1827"/>
      <c r="BI459" s="422"/>
      <c r="BJ459" s="103"/>
    </row>
    <row r="460" spans="1:62" ht="111.75" hidden="1" customHeight="1">
      <c r="A460" s="16">
        <f>OBRA!K458</f>
        <v>2020</v>
      </c>
      <c r="B460" s="781" t="s">
        <v>2094</v>
      </c>
      <c r="C460" s="781">
        <v>205.04</v>
      </c>
      <c r="D460" s="781"/>
      <c r="E460" s="2" t="str">
        <f>OBRA!N458</f>
        <v>CUENTA CORRIENTE</v>
      </c>
      <c r="F460" s="156" t="s">
        <v>1427</v>
      </c>
      <c r="G460" s="156" t="s">
        <v>2864</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3037</v>
      </c>
      <c r="L460" s="452"/>
      <c r="M460" s="674" t="s">
        <v>3997</v>
      </c>
      <c r="N460" s="674" t="s">
        <v>1975</v>
      </c>
      <c r="O460" s="505" t="s">
        <v>3730</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5669</v>
      </c>
      <c r="AB460" s="148" t="s">
        <v>3042</v>
      </c>
      <c r="AC460" s="400" t="s">
        <v>2995</v>
      </c>
      <c r="AD460" s="1111" t="s">
        <v>2996</v>
      </c>
      <c r="AE460" s="184" t="str">
        <f>OBRA!Y458</f>
        <v>ING. HECTOR JESUS HERNANDEZ</v>
      </c>
      <c r="AF460" s="19">
        <v>1</v>
      </c>
      <c r="AG460" s="2" t="s">
        <v>1573</v>
      </c>
      <c r="AH460" s="554">
        <f t="shared" si="27"/>
        <v>0</v>
      </c>
      <c r="AI460" s="2">
        <v>200</v>
      </c>
      <c r="AJ460" s="514">
        <v>1000</v>
      </c>
      <c r="AK460" s="514"/>
      <c r="AL460" s="1542"/>
      <c r="AM460" s="1543"/>
      <c r="AN460" s="1133" t="s">
        <v>67</v>
      </c>
      <c r="AO460" s="563" t="s">
        <v>67</v>
      </c>
      <c r="AP460" s="563" t="s">
        <v>67</v>
      </c>
      <c r="AQ460" s="507"/>
      <c r="AR460" s="507"/>
      <c r="AS460" s="1294" t="s">
        <v>67</v>
      </c>
      <c r="AT460" s="1718"/>
      <c r="AU460" s="1718"/>
      <c r="AV460" s="1718"/>
      <c r="AW460" s="1718"/>
      <c r="AX460" s="1718"/>
      <c r="AY460" s="1718"/>
      <c r="AZ460" s="1718"/>
      <c r="BA460" s="1718"/>
      <c r="BB460" s="1718"/>
      <c r="BC460" s="1718"/>
      <c r="BD460" s="1718"/>
      <c r="BE460" s="1718"/>
      <c r="BF460" s="1718"/>
      <c r="BG460" s="1718"/>
      <c r="BH460" s="1718"/>
      <c r="BI460" s="413"/>
      <c r="BJ460" s="12"/>
    </row>
    <row r="461" spans="1:62" ht="108.75" hidden="1" customHeight="1">
      <c r="A461" s="16">
        <f>OBRA!K459</f>
        <v>2020</v>
      </c>
      <c r="B461" s="781" t="s">
        <v>2094</v>
      </c>
      <c r="C461" s="781">
        <v>205.05</v>
      </c>
      <c r="D461" s="781"/>
      <c r="E461" s="2" t="str">
        <f>OBRA!N459</f>
        <v>CUENTA CORRIENTE</v>
      </c>
      <c r="F461" s="156" t="s">
        <v>1427</v>
      </c>
      <c r="G461" s="156" t="s">
        <v>2864</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3037</v>
      </c>
      <c r="L461" s="452"/>
      <c r="M461" s="674" t="s">
        <v>3998</v>
      </c>
      <c r="N461" s="674" t="s">
        <v>1975</v>
      </c>
      <c r="O461" s="1470" t="s">
        <v>3730</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5669</v>
      </c>
      <c r="AB461" s="148" t="s">
        <v>3042</v>
      </c>
      <c r="AC461" s="148" t="s">
        <v>2995</v>
      </c>
      <c r="AD461" s="146" t="s">
        <v>2996</v>
      </c>
      <c r="AE461" s="184" t="str">
        <f>OBRA!Y459</f>
        <v>ING. HECTOR JESUS HERNANDEZ</v>
      </c>
      <c r="AF461" s="19">
        <v>1</v>
      </c>
      <c r="AG461" s="2" t="s">
        <v>1573</v>
      </c>
      <c r="AH461" s="554">
        <f t="shared" si="27"/>
        <v>0</v>
      </c>
      <c r="AI461" s="2">
        <v>500</v>
      </c>
      <c r="AJ461" s="514">
        <v>500</v>
      </c>
      <c r="AK461" s="514"/>
      <c r="AL461" s="1542"/>
      <c r="AM461" s="1543"/>
      <c r="AN461" s="1133" t="s">
        <v>67</v>
      </c>
      <c r="AO461" s="563" t="s">
        <v>67</v>
      </c>
      <c r="AP461" s="563" t="s">
        <v>67</v>
      </c>
      <c r="AQ461" s="507"/>
      <c r="AR461" s="507"/>
      <c r="AS461" s="1294" t="s">
        <v>67</v>
      </c>
      <c r="AT461" s="1718"/>
      <c r="AU461" s="1718"/>
      <c r="AV461" s="1718"/>
      <c r="AW461" s="1718"/>
      <c r="AX461" s="1718"/>
      <c r="AY461" s="1718"/>
      <c r="AZ461" s="1718"/>
      <c r="BA461" s="1718"/>
      <c r="BB461" s="1718"/>
      <c r="BC461" s="1718"/>
      <c r="BD461" s="1718"/>
      <c r="BE461" s="1718"/>
      <c r="BF461" s="1718"/>
      <c r="BG461" s="1718"/>
      <c r="BH461" s="1718"/>
      <c r="BI461" s="413"/>
      <c r="BJ461" s="12"/>
    </row>
    <row r="462" spans="1:62" ht="94.5" hidden="1" customHeight="1">
      <c r="A462" s="16">
        <f>OBRA!K460</f>
        <v>2020</v>
      </c>
      <c r="B462" s="781" t="s">
        <v>2094</v>
      </c>
      <c r="C462" s="781">
        <v>205.06</v>
      </c>
      <c r="D462" s="781"/>
      <c r="E462" s="2" t="str">
        <f>OBRA!N460</f>
        <v>CUENTA CORRIENTE</v>
      </c>
      <c r="F462" s="156" t="s">
        <v>1427</v>
      </c>
      <c r="G462" s="156" t="s">
        <v>2864</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3037</v>
      </c>
      <c r="L462" s="452"/>
      <c r="M462" s="674" t="s">
        <v>3999</v>
      </c>
      <c r="N462" s="674" t="s">
        <v>2527</v>
      </c>
      <c r="O462" s="1470" t="s">
        <v>3730</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5669</v>
      </c>
      <c r="AB462" s="148" t="s">
        <v>3042</v>
      </c>
      <c r="AC462" s="148" t="s">
        <v>2995</v>
      </c>
      <c r="AD462" s="146" t="s">
        <v>2996</v>
      </c>
      <c r="AE462" s="184" t="str">
        <f>OBRA!Y460</f>
        <v>ING. HECTOR JESUS HERNANDEZ</v>
      </c>
      <c r="AF462" s="19">
        <v>1</v>
      </c>
      <c r="AG462" s="2" t="s">
        <v>1573</v>
      </c>
      <c r="AH462" s="554">
        <f t="shared" ref="AH462:AH493" si="29">X462/AF462</f>
        <v>0</v>
      </c>
      <c r="AI462" s="2">
        <v>2000</v>
      </c>
      <c r="AJ462" s="514">
        <v>8000</v>
      </c>
      <c r="AK462" s="514"/>
      <c r="AL462" s="1542"/>
      <c r="AM462" s="1543"/>
      <c r="AN462" s="1133" t="s">
        <v>67</v>
      </c>
      <c r="AO462" s="563" t="s">
        <v>67</v>
      </c>
      <c r="AP462" s="563" t="s">
        <v>67</v>
      </c>
      <c r="AQ462" s="507"/>
      <c r="AR462" s="507"/>
      <c r="AS462" s="1294" t="s">
        <v>67</v>
      </c>
      <c r="AT462" s="1718"/>
      <c r="AU462" s="1718"/>
      <c r="AV462" s="1718"/>
      <c r="AW462" s="1718"/>
      <c r="AX462" s="1718"/>
      <c r="AY462" s="1718"/>
      <c r="AZ462" s="1718"/>
      <c r="BA462" s="1718"/>
      <c r="BB462" s="1718"/>
      <c r="BC462" s="1718"/>
      <c r="BD462" s="1718"/>
      <c r="BE462" s="1718"/>
      <c r="BF462" s="1718"/>
      <c r="BG462" s="1718"/>
      <c r="BH462" s="1718"/>
      <c r="BI462" s="413"/>
      <c r="BJ462" s="12"/>
    </row>
    <row r="463" spans="1:62" ht="84.75" hidden="1" customHeight="1">
      <c r="A463" s="16">
        <f>OBRA!K461</f>
        <v>2020</v>
      </c>
      <c r="B463" s="781" t="s">
        <v>2094</v>
      </c>
      <c r="C463" s="781">
        <v>205.07</v>
      </c>
      <c r="D463" s="781"/>
      <c r="E463" s="2" t="str">
        <f>OBRA!N461</f>
        <v>CUENTA CORRIENTE</v>
      </c>
      <c r="F463" s="156" t="s">
        <v>1427</v>
      </c>
      <c r="G463" s="156" t="s">
        <v>2864</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3037</v>
      </c>
      <c r="L463" s="452"/>
      <c r="M463" s="674" t="s">
        <v>4000</v>
      </c>
      <c r="N463" s="674" t="s">
        <v>1975</v>
      </c>
      <c r="O463" s="1470" t="s">
        <v>3730</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5669</v>
      </c>
      <c r="AB463" s="148" t="s">
        <v>3042</v>
      </c>
      <c r="AC463" s="148" t="s">
        <v>2995</v>
      </c>
      <c r="AD463" s="146" t="s">
        <v>2996</v>
      </c>
      <c r="AE463" s="184" t="str">
        <f>OBRA!Y461</f>
        <v>ING. HECTOR JESUS HERNANDEZ</v>
      </c>
      <c r="AF463" s="19">
        <v>1</v>
      </c>
      <c r="AG463" s="2" t="s">
        <v>1573</v>
      </c>
      <c r="AH463" s="554">
        <f t="shared" si="29"/>
        <v>0</v>
      </c>
      <c r="AI463" s="2">
        <v>200</v>
      </c>
      <c r="AJ463" s="514">
        <v>1000</v>
      </c>
      <c r="AK463" s="514"/>
      <c r="AL463" s="1542"/>
      <c r="AM463" s="1543"/>
      <c r="AN463" s="1133" t="s">
        <v>67</v>
      </c>
      <c r="AO463" s="563" t="s">
        <v>67</v>
      </c>
      <c r="AP463" s="563" t="s">
        <v>67</v>
      </c>
      <c r="AQ463" s="507"/>
      <c r="AR463" s="507"/>
      <c r="AS463" s="1294" t="s">
        <v>67</v>
      </c>
      <c r="AT463" s="1718"/>
      <c r="AU463" s="1718"/>
      <c r="AV463" s="1718"/>
      <c r="AW463" s="1718"/>
      <c r="AX463" s="1718"/>
      <c r="AY463" s="1718"/>
      <c r="AZ463" s="1718"/>
      <c r="BA463" s="1718"/>
      <c r="BB463" s="1718"/>
      <c r="BC463" s="1718"/>
      <c r="BD463" s="1718"/>
      <c r="BE463" s="1718"/>
      <c r="BF463" s="1718"/>
      <c r="BG463" s="1718"/>
      <c r="BH463" s="1718"/>
      <c r="BI463" s="413"/>
      <c r="BJ463" s="12"/>
    </row>
    <row r="464" spans="1:62" ht="96.75" hidden="1" customHeight="1">
      <c r="A464" s="16">
        <f>OBRA!K462</f>
        <v>2020</v>
      </c>
      <c r="B464" s="781" t="s">
        <v>2094</v>
      </c>
      <c r="C464" s="781">
        <v>205.08</v>
      </c>
      <c r="D464" s="781"/>
      <c r="E464" s="2" t="str">
        <f>OBRA!N462</f>
        <v>CUENTA CORRIENTE</v>
      </c>
      <c r="F464" s="156" t="s">
        <v>1427</v>
      </c>
      <c r="G464" s="156" t="s">
        <v>2864</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3037</v>
      </c>
      <c r="L464" s="452"/>
      <c r="M464" s="674" t="s">
        <v>4001</v>
      </c>
      <c r="N464" s="674" t="s">
        <v>2580</v>
      </c>
      <c r="O464" s="1470" t="s">
        <v>3730</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5669</v>
      </c>
      <c r="AB464" s="148" t="s">
        <v>3042</v>
      </c>
      <c r="AC464" s="148" t="s">
        <v>2995</v>
      </c>
      <c r="AD464" s="146" t="s">
        <v>2996</v>
      </c>
      <c r="AE464" s="184" t="str">
        <f>OBRA!Y462</f>
        <v>ING. HECTOR JESUS HERNANDEZ</v>
      </c>
      <c r="AF464" s="19">
        <v>1</v>
      </c>
      <c r="AG464" s="2" t="s">
        <v>1573</v>
      </c>
      <c r="AH464" s="554">
        <f t="shared" si="29"/>
        <v>0</v>
      </c>
      <c r="AI464" s="2">
        <v>200</v>
      </c>
      <c r="AJ464" s="514">
        <v>1000</v>
      </c>
      <c r="AK464" s="514"/>
      <c r="AL464" s="1542"/>
      <c r="AM464" s="1543"/>
      <c r="AN464" s="1133" t="s">
        <v>67</v>
      </c>
      <c r="AO464" s="563" t="s">
        <v>67</v>
      </c>
      <c r="AP464" s="563" t="s">
        <v>67</v>
      </c>
      <c r="AQ464" s="507"/>
      <c r="AR464" s="507"/>
      <c r="AS464" s="1294" t="s">
        <v>67</v>
      </c>
      <c r="AT464" s="1718"/>
      <c r="AU464" s="1718"/>
      <c r="AV464" s="1718"/>
      <c r="AW464" s="1718"/>
      <c r="AX464" s="1718"/>
      <c r="AY464" s="1718"/>
      <c r="AZ464" s="1718"/>
      <c r="BA464" s="1718"/>
      <c r="BB464" s="1718"/>
      <c r="BC464" s="1718"/>
      <c r="BD464" s="1718"/>
      <c r="BE464" s="1718"/>
      <c r="BF464" s="1718"/>
      <c r="BG464" s="1718"/>
      <c r="BH464" s="1718"/>
      <c r="BI464" s="413"/>
      <c r="BJ464" s="12"/>
    </row>
    <row r="465" spans="1:62" ht="96" hidden="1" customHeight="1">
      <c r="A465" s="16">
        <f>OBRA!K463</f>
        <v>2020</v>
      </c>
      <c r="B465" s="781" t="s">
        <v>2094</v>
      </c>
      <c r="C465" s="781">
        <v>205.09</v>
      </c>
      <c r="D465" s="781"/>
      <c r="E465" s="2" t="str">
        <f>OBRA!N463</f>
        <v>CUENTA CORRIENTE</v>
      </c>
      <c r="F465" s="156" t="s">
        <v>1427</v>
      </c>
      <c r="G465" s="156" t="s">
        <v>2864</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3038</v>
      </c>
      <c r="L465" s="173"/>
      <c r="M465" s="674" t="s">
        <v>3035</v>
      </c>
      <c r="N465" s="674" t="s">
        <v>2617</v>
      </c>
      <c r="O465" s="1470" t="s">
        <v>3730</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5669</v>
      </c>
      <c r="AB465" s="148" t="s">
        <v>3002</v>
      </c>
      <c r="AC465" s="148" t="s">
        <v>2990</v>
      </c>
      <c r="AD465" s="146" t="s">
        <v>2991</v>
      </c>
      <c r="AE465" s="184" t="str">
        <f>OBRA!Y463</f>
        <v>ING. HECTOR JESUS HERNANDEZ</v>
      </c>
      <c r="AF465" s="19">
        <v>1</v>
      </c>
      <c r="AG465" s="2" t="s">
        <v>1462</v>
      </c>
      <c r="AH465" s="554">
        <f t="shared" si="29"/>
        <v>0</v>
      </c>
      <c r="AI465" s="2">
        <v>800</v>
      </c>
      <c r="AJ465" s="514">
        <v>800</v>
      </c>
      <c r="AK465" s="514"/>
      <c r="AL465" s="1542"/>
      <c r="AM465" s="1543"/>
      <c r="AN465" s="1133" t="s">
        <v>67</v>
      </c>
      <c r="AO465" s="563" t="s">
        <v>67</v>
      </c>
      <c r="AP465" s="563" t="s">
        <v>67</v>
      </c>
      <c r="AQ465" s="507"/>
      <c r="AR465" s="507"/>
      <c r="AS465" s="1294" t="s">
        <v>67</v>
      </c>
      <c r="AT465" s="1718"/>
      <c r="AU465" s="1718"/>
      <c r="AV465" s="1718"/>
      <c r="AW465" s="1718"/>
      <c r="AX465" s="1718"/>
      <c r="AY465" s="1718"/>
      <c r="AZ465" s="1718"/>
      <c r="BA465" s="1718"/>
      <c r="BB465" s="1718"/>
      <c r="BC465" s="1718"/>
      <c r="BD465" s="1718"/>
      <c r="BE465" s="1718"/>
      <c r="BF465" s="1718"/>
      <c r="BG465" s="1718"/>
      <c r="BH465" s="1718"/>
      <c r="BI465" s="413"/>
      <c r="BJ465" s="12"/>
    </row>
    <row r="466" spans="1:62" ht="117" hidden="1" customHeight="1">
      <c r="A466" s="16">
        <f>OBRA!K464</f>
        <v>2020</v>
      </c>
      <c r="B466" s="781" t="s">
        <v>2094</v>
      </c>
      <c r="C466" s="781">
        <v>205.1</v>
      </c>
      <c r="D466" s="781"/>
      <c r="E466" s="2" t="str">
        <f>OBRA!N464</f>
        <v>CUENTA CORRIENTE</v>
      </c>
      <c r="F466" s="156" t="s">
        <v>1427</v>
      </c>
      <c r="G466" s="156" t="s">
        <v>2864</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3037</v>
      </c>
      <c r="L466" s="452"/>
      <c r="M466" s="674" t="s">
        <v>3329</v>
      </c>
      <c r="N466" s="674" t="s">
        <v>2541</v>
      </c>
      <c r="O466" s="505" t="s">
        <v>3502</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5669</v>
      </c>
      <c r="AB466" s="148" t="s">
        <v>3042</v>
      </c>
      <c r="AC466" s="148" t="s">
        <v>3789</v>
      </c>
      <c r="AD466" s="146" t="s">
        <v>3790</v>
      </c>
      <c r="AE466" s="184" t="str">
        <f>OBRA!Y464</f>
        <v>ARQ. EDUARDO ROMERO CARRILLO</v>
      </c>
      <c r="AF466" s="19">
        <v>1</v>
      </c>
      <c r="AG466" s="2" t="s">
        <v>1573</v>
      </c>
      <c r="AH466" s="554">
        <f t="shared" si="29"/>
        <v>0</v>
      </c>
      <c r="AI466" s="2">
        <v>3600</v>
      </c>
      <c r="AJ466" s="514">
        <v>3600</v>
      </c>
      <c r="AK466" s="514"/>
      <c r="AL466" s="1542"/>
      <c r="AM466" s="1543"/>
      <c r="AN466" s="1133" t="s">
        <v>67</v>
      </c>
      <c r="AO466" s="563" t="s">
        <v>67</v>
      </c>
      <c r="AP466" s="563" t="s">
        <v>67</v>
      </c>
      <c r="AQ466" s="507"/>
      <c r="AR466" s="507"/>
      <c r="AS466" s="1294" t="s">
        <v>67</v>
      </c>
      <c r="AT466" s="1718"/>
      <c r="AU466" s="1718"/>
      <c r="AV466" s="1718"/>
      <c r="AW466" s="1718"/>
      <c r="AX466" s="1718"/>
      <c r="AY466" s="1718"/>
      <c r="AZ466" s="1718"/>
      <c r="BA466" s="1718"/>
      <c r="BB466" s="1718"/>
      <c r="BC466" s="1718"/>
      <c r="BD466" s="1718"/>
      <c r="BE466" s="1718"/>
      <c r="BF466" s="1718"/>
      <c r="BG466" s="1718"/>
      <c r="BH466" s="1718"/>
      <c r="BI466" s="413"/>
      <c r="BJ466" s="12"/>
    </row>
    <row r="467" spans="1:62" ht="78.75" hidden="1" customHeight="1">
      <c r="A467" s="16">
        <f>OBRA!K465</f>
        <v>2020</v>
      </c>
      <c r="B467" s="781" t="s">
        <v>2094</v>
      </c>
      <c r="C467" s="781">
        <v>205.11</v>
      </c>
      <c r="D467" s="781"/>
      <c r="E467" s="2" t="str">
        <f>OBRA!N465</f>
        <v>CUENTA CORRIENTE</v>
      </c>
      <c r="F467" s="156" t="s">
        <v>1427</v>
      </c>
      <c r="G467" s="156" t="s">
        <v>2864</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3037</v>
      </c>
      <c r="L467" s="452"/>
      <c r="M467" s="674" t="s">
        <v>3330</v>
      </c>
      <c r="N467" s="674" t="s">
        <v>2578</v>
      </c>
      <c r="O467" s="505" t="s">
        <v>3503</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5668</v>
      </c>
      <c r="AB467" s="148" t="str">
        <f>Z467</f>
        <v>JUAN MANUEL GARCIA ESCOTO</v>
      </c>
      <c r="AC467" s="148" t="s">
        <v>2979</v>
      </c>
      <c r="AD467" s="146" t="s">
        <v>2979</v>
      </c>
      <c r="AE467" s="184" t="str">
        <f>OBRA!Y465</f>
        <v>ING. HECTOR JESUS HERNANDEZ</v>
      </c>
      <c r="AF467" s="19">
        <v>1</v>
      </c>
      <c r="AG467" s="2" t="s">
        <v>1573</v>
      </c>
      <c r="AH467" s="554">
        <f t="shared" si="29"/>
        <v>0</v>
      </c>
      <c r="AI467" s="511"/>
      <c r="AJ467" s="507"/>
      <c r="AK467" s="507"/>
      <c r="AL467" s="626"/>
      <c r="AM467" s="1546"/>
      <c r="AN467" s="1133" t="s">
        <v>67</v>
      </c>
      <c r="AO467" s="563" t="s">
        <v>67</v>
      </c>
      <c r="AP467" s="563" t="s">
        <v>67</v>
      </c>
      <c r="AQ467" s="507"/>
      <c r="AR467" s="507"/>
      <c r="AS467" s="1294" t="s">
        <v>67</v>
      </c>
      <c r="AT467" s="1718"/>
      <c r="AU467" s="1718"/>
      <c r="AV467" s="1718"/>
      <c r="AW467" s="1718"/>
      <c r="AX467" s="1718"/>
      <c r="AY467" s="1718"/>
      <c r="AZ467" s="1718"/>
      <c r="BA467" s="1718"/>
      <c r="BB467" s="1718"/>
      <c r="BC467" s="1718"/>
      <c r="BD467" s="1718"/>
      <c r="BE467" s="1718"/>
      <c r="BF467" s="1718"/>
      <c r="BG467" s="1718"/>
      <c r="BH467" s="1718"/>
      <c r="BI467" s="413"/>
      <c r="BJ467" s="12"/>
    </row>
    <row r="468" spans="1:62" ht="132" hidden="1" customHeight="1">
      <c r="A468" s="16">
        <f>OBRA!K466</f>
        <v>2020</v>
      </c>
      <c r="B468" s="781" t="s">
        <v>2094</v>
      </c>
      <c r="C468" s="781">
        <v>205.12</v>
      </c>
      <c r="D468" s="781"/>
      <c r="E468" s="2" t="str">
        <f>OBRA!N466</f>
        <v>CUENTA CORRIENTE</v>
      </c>
      <c r="F468" s="156" t="s">
        <v>1427</v>
      </c>
      <c r="G468" s="156" t="s">
        <v>2864</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2992</v>
      </c>
      <c r="L468" s="173"/>
      <c r="M468" s="674" t="s">
        <v>3331</v>
      </c>
      <c r="N468" s="674" t="s">
        <v>2617</v>
      </c>
      <c r="O468" s="505" t="s">
        <v>3503</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5669</v>
      </c>
      <c r="AB468" s="148" t="s">
        <v>3786</v>
      </c>
      <c r="AC468" s="148" t="s">
        <v>3787</v>
      </c>
      <c r="AD468" s="146" t="s">
        <v>3788</v>
      </c>
      <c r="AE468" s="184" t="str">
        <f>OBRA!Y466</f>
        <v>ING. HECTOR JESUS HERNANDEZ</v>
      </c>
      <c r="AF468" s="19">
        <v>1</v>
      </c>
      <c r="AG468" s="2" t="s">
        <v>1573</v>
      </c>
      <c r="AH468" s="554">
        <f t="shared" si="29"/>
        <v>0</v>
      </c>
      <c r="AI468" s="2">
        <v>800</v>
      </c>
      <c r="AJ468" s="514">
        <v>800</v>
      </c>
      <c r="AK468" s="514"/>
      <c r="AL468" s="1542"/>
      <c r="AM468" s="1543"/>
      <c r="AN468" s="1133" t="s">
        <v>67</v>
      </c>
      <c r="AO468" s="563" t="s">
        <v>67</v>
      </c>
      <c r="AP468" s="563" t="s">
        <v>67</v>
      </c>
      <c r="AQ468" s="507"/>
      <c r="AR468" s="507"/>
      <c r="AS468" s="1294" t="s">
        <v>67</v>
      </c>
      <c r="AT468" s="1718"/>
      <c r="AU468" s="1718"/>
      <c r="AV468" s="1718"/>
      <c r="AW468" s="1718"/>
      <c r="AX468" s="1718"/>
      <c r="AY468" s="1718"/>
      <c r="AZ468" s="1718"/>
      <c r="BA468" s="1718"/>
      <c r="BB468" s="1718"/>
      <c r="BC468" s="1718"/>
      <c r="BD468" s="1718"/>
      <c r="BE468" s="1718"/>
      <c r="BF468" s="1718"/>
      <c r="BG468" s="1718"/>
      <c r="BH468" s="1718"/>
      <c r="BI468" s="413"/>
      <c r="BJ468" s="12"/>
    </row>
    <row r="469" spans="1:62" ht="90" hidden="1" customHeight="1">
      <c r="A469" s="16">
        <f>OBRA!K467</f>
        <v>2020</v>
      </c>
      <c r="B469" s="781" t="s">
        <v>2094</v>
      </c>
      <c r="C469" s="781">
        <v>205.13</v>
      </c>
      <c r="D469" s="781"/>
      <c r="E469" s="2" t="str">
        <f>OBRA!N467</f>
        <v>CUENTA CORRIENTE</v>
      </c>
      <c r="F469" s="156" t="s">
        <v>1427</v>
      </c>
      <c r="G469" s="156" t="s">
        <v>2864</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3037</v>
      </c>
      <c r="L469" s="674"/>
      <c r="M469" s="674" t="s">
        <v>3332</v>
      </c>
      <c r="N469" s="674" t="s">
        <v>1975</v>
      </c>
      <c r="O469" s="505" t="s">
        <v>3503</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5669</v>
      </c>
      <c r="AB469" s="148" t="s">
        <v>3786</v>
      </c>
      <c r="AC469" s="148" t="s">
        <v>3787</v>
      </c>
      <c r="AD469" s="146" t="s">
        <v>3788</v>
      </c>
      <c r="AE469" s="184" t="str">
        <f>OBRA!Y467</f>
        <v>ING. HECTOR JESUS HERNANDEZ</v>
      </c>
      <c r="AF469" s="19">
        <v>1</v>
      </c>
      <c r="AG469" s="2" t="s">
        <v>1573</v>
      </c>
      <c r="AH469" s="554">
        <f t="shared" si="29"/>
        <v>0</v>
      </c>
      <c r="AI469" s="2">
        <v>22100</v>
      </c>
      <c r="AJ469" s="514">
        <v>22100</v>
      </c>
      <c r="AK469" s="514"/>
      <c r="AL469" s="1542"/>
      <c r="AM469" s="1543"/>
      <c r="AN469" s="1133" t="s">
        <v>67</v>
      </c>
      <c r="AO469" s="563" t="s">
        <v>67</v>
      </c>
      <c r="AP469" s="563" t="s">
        <v>67</v>
      </c>
      <c r="AQ469" s="507"/>
      <c r="AR469" s="507"/>
      <c r="AS469" s="1294" t="s">
        <v>67</v>
      </c>
      <c r="AT469" s="1718"/>
      <c r="AU469" s="1718"/>
      <c r="AV469" s="1718"/>
      <c r="AW469" s="1718"/>
      <c r="AX469" s="1718"/>
      <c r="AY469" s="1718"/>
      <c r="AZ469" s="1718"/>
      <c r="BA469" s="1718"/>
      <c r="BB469" s="1718"/>
      <c r="BC469" s="1718"/>
      <c r="BD469" s="1718"/>
      <c r="BE469" s="1718"/>
      <c r="BF469" s="1718"/>
      <c r="BG469" s="1718"/>
      <c r="BH469" s="1718"/>
      <c r="BI469" s="413"/>
      <c r="BJ469" s="12"/>
    </row>
    <row r="470" spans="1:62" ht="142.5" hidden="1" customHeight="1">
      <c r="A470" s="16">
        <f>OBRA!K468</f>
        <v>2020</v>
      </c>
      <c r="B470" s="781" t="s">
        <v>2094</v>
      </c>
      <c r="C470" s="781">
        <v>205.14</v>
      </c>
      <c r="D470" s="781"/>
      <c r="E470" s="2" t="str">
        <f>OBRA!N468</f>
        <v>CUENTA CORRIENTE</v>
      </c>
      <c r="F470" s="156" t="s">
        <v>1427</v>
      </c>
      <c r="G470" s="156" t="s">
        <v>2864</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3037</v>
      </c>
      <c r="L470" s="452"/>
      <c r="M470" s="674" t="s">
        <v>1558</v>
      </c>
      <c r="N470" s="674" t="s">
        <v>2527</v>
      </c>
      <c r="O470" s="505" t="s">
        <v>3503</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5669</v>
      </c>
      <c r="AB470" s="148" t="s">
        <v>3042</v>
      </c>
      <c r="AC470" s="148" t="s">
        <v>3789</v>
      </c>
      <c r="AD470" s="146" t="s">
        <v>3790</v>
      </c>
      <c r="AE470" s="184" t="str">
        <f>OBRA!Y468</f>
        <v>LIC. SALVADOR CONTRERAS OLGUÍN</v>
      </c>
      <c r="AF470" s="19">
        <v>1</v>
      </c>
      <c r="AG470" s="2" t="s">
        <v>1573</v>
      </c>
      <c r="AH470" s="554">
        <f t="shared" si="29"/>
        <v>0</v>
      </c>
      <c r="AI470" s="2">
        <v>500</v>
      </c>
      <c r="AJ470" s="514">
        <v>4000</v>
      </c>
      <c r="AK470" s="514"/>
      <c r="AL470" s="1542"/>
      <c r="AM470" s="1543"/>
      <c r="AN470" s="1133" t="s">
        <v>67</v>
      </c>
      <c r="AO470" s="563" t="s">
        <v>67</v>
      </c>
      <c r="AP470" s="563" t="s">
        <v>67</v>
      </c>
      <c r="AQ470" s="507"/>
      <c r="AR470" s="507"/>
      <c r="AS470" s="1294" t="s">
        <v>67</v>
      </c>
      <c r="AT470" s="1718"/>
      <c r="AU470" s="1718"/>
      <c r="AV470" s="1718"/>
      <c r="AW470" s="1718"/>
      <c r="AX470" s="1718"/>
      <c r="AY470" s="1718"/>
      <c r="AZ470" s="1718"/>
      <c r="BA470" s="1718"/>
      <c r="BB470" s="1718"/>
      <c r="BC470" s="1718"/>
      <c r="BD470" s="1718"/>
      <c r="BE470" s="1718"/>
      <c r="BF470" s="1718"/>
      <c r="BG470" s="1718"/>
      <c r="BH470" s="1718"/>
      <c r="BI470" s="413"/>
      <c r="BJ470" s="12"/>
    </row>
    <row r="471" spans="1:62" ht="166.5" hidden="1" customHeight="1">
      <c r="A471" s="16">
        <f>OBRA!K469</f>
        <v>2020</v>
      </c>
      <c r="B471" s="781" t="s">
        <v>2094</v>
      </c>
      <c r="C471" s="781">
        <v>205.15</v>
      </c>
      <c r="D471" s="781"/>
      <c r="E471" s="2" t="str">
        <f>OBRA!N469</f>
        <v>CUENTA CORRIENTE</v>
      </c>
      <c r="F471" s="156" t="s">
        <v>1427</v>
      </c>
      <c r="G471" s="156" t="s">
        <v>2864</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3037</v>
      </c>
      <c r="L471" s="452"/>
      <c r="M471" s="674" t="s">
        <v>3333</v>
      </c>
      <c r="N471" s="674" t="s">
        <v>1975</v>
      </c>
      <c r="O471" s="505" t="s">
        <v>3503</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5669</v>
      </c>
      <c r="AB471" s="148" t="s">
        <v>3042</v>
      </c>
      <c r="AC471" s="148" t="s">
        <v>3789</v>
      </c>
      <c r="AD471" s="146" t="s">
        <v>3790</v>
      </c>
      <c r="AE471" s="184" t="str">
        <f>OBRA!Y469</f>
        <v>ARQ. JAIME CONDE GOMEZ</v>
      </c>
      <c r="AF471" s="19">
        <v>1</v>
      </c>
      <c r="AG471" s="2" t="s">
        <v>1573</v>
      </c>
      <c r="AH471" s="554">
        <f t="shared" si="29"/>
        <v>0</v>
      </c>
      <c r="AI471" s="2">
        <v>150</v>
      </c>
      <c r="AJ471" s="514">
        <v>300</v>
      </c>
      <c r="AK471" s="514"/>
      <c r="AL471" s="1542"/>
      <c r="AM471" s="1543"/>
      <c r="AN471" s="1133" t="s">
        <v>67</v>
      </c>
      <c r="AO471" s="563" t="s">
        <v>67</v>
      </c>
      <c r="AP471" s="563" t="s">
        <v>67</v>
      </c>
      <c r="AQ471" s="507"/>
      <c r="AR471" s="507"/>
      <c r="AS471" s="1294" t="s">
        <v>67</v>
      </c>
      <c r="AT471" s="1718"/>
      <c r="AU471" s="1718"/>
      <c r="AV471" s="1718"/>
      <c r="AW471" s="1718"/>
      <c r="AX471" s="1718"/>
      <c r="AY471" s="1718"/>
      <c r="AZ471" s="1718"/>
      <c r="BA471" s="1718"/>
      <c r="BB471" s="1718"/>
      <c r="BC471" s="1718"/>
      <c r="BD471" s="1718"/>
      <c r="BE471" s="1718"/>
      <c r="BF471" s="1718"/>
      <c r="BG471" s="1718"/>
      <c r="BH471" s="1718"/>
      <c r="BI471" s="413"/>
      <c r="BJ471" s="12"/>
    </row>
    <row r="472" spans="1:62" ht="142.5" hidden="1" customHeight="1">
      <c r="A472" s="16">
        <f>OBRA!K470</f>
        <v>2020</v>
      </c>
      <c r="B472" s="781" t="s">
        <v>2094</v>
      </c>
      <c r="C472" s="781">
        <v>205.16</v>
      </c>
      <c r="D472" s="781"/>
      <c r="E472" s="2" t="str">
        <f>OBRA!N470</f>
        <v>CUENTA CORRIENTE</v>
      </c>
      <c r="F472" s="156" t="s">
        <v>1427</v>
      </c>
      <c r="G472" s="156" t="s">
        <v>2864</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3037</v>
      </c>
      <c r="L472" s="452"/>
      <c r="M472" s="674" t="s">
        <v>3334</v>
      </c>
      <c r="N472" s="674" t="s">
        <v>1975</v>
      </c>
      <c r="O472" s="505" t="s">
        <v>3503</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5669</v>
      </c>
      <c r="AB472" s="148" t="s">
        <v>3042</v>
      </c>
      <c r="AC472" s="148" t="s">
        <v>3789</v>
      </c>
      <c r="AD472" s="146" t="s">
        <v>3790</v>
      </c>
      <c r="AE472" s="184" t="str">
        <f>OBRA!Y470</f>
        <v>ING. J. GUADALUPE IBARRA RAMIREZ</v>
      </c>
      <c r="AF472" s="19">
        <v>1</v>
      </c>
      <c r="AG472" s="2" t="s">
        <v>1573</v>
      </c>
      <c r="AH472" s="554">
        <f t="shared" si="29"/>
        <v>0</v>
      </c>
      <c r="AI472" s="2">
        <v>350</v>
      </c>
      <c r="AJ472" s="514">
        <v>1000</v>
      </c>
      <c r="AK472" s="514"/>
      <c r="AL472" s="1542"/>
      <c r="AM472" s="1543"/>
      <c r="AN472" s="1133" t="s">
        <v>67</v>
      </c>
      <c r="AO472" s="563" t="s">
        <v>67</v>
      </c>
      <c r="AP472" s="563" t="s">
        <v>67</v>
      </c>
      <c r="AQ472" s="507"/>
      <c r="AR472" s="507"/>
      <c r="AS472" s="1294" t="s">
        <v>67</v>
      </c>
      <c r="AT472" s="1718"/>
      <c r="AU472" s="1718"/>
      <c r="AV472" s="1718"/>
      <c r="AW472" s="1718"/>
      <c r="AX472" s="1718"/>
      <c r="AY472" s="1718"/>
      <c r="AZ472" s="1718"/>
      <c r="BA472" s="1718"/>
      <c r="BB472" s="1718"/>
      <c r="BC472" s="1718"/>
      <c r="BD472" s="1718"/>
      <c r="BE472" s="1718"/>
      <c r="BF472" s="1718"/>
      <c r="BG472" s="1718"/>
      <c r="BH472" s="1718"/>
      <c r="BI472" s="413"/>
      <c r="BJ472" s="12"/>
    </row>
    <row r="473" spans="1:62" ht="77.25" hidden="1" customHeight="1">
      <c r="A473" s="16">
        <f>OBRA!K471</f>
        <v>2020</v>
      </c>
      <c r="B473" s="781" t="s">
        <v>2094</v>
      </c>
      <c r="C473" s="781">
        <v>205.17</v>
      </c>
      <c r="D473" s="781"/>
      <c r="E473" s="2" t="str">
        <f>OBRA!N471</f>
        <v>CUENTA CORRIENTE</v>
      </c>
      <c r="F473" s="156" t="s">
        <v>1427</v>
      </c>
      <c r="G473" s="156" t="s">
        <v>2864</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3785</v>
      </c>
      <c r="L473" s="173"/>
      <c r="M473" s="674" t="s">
        <v>3335</v>
      </c>
      <c r="N473" s="674" t="s">
        <v>1975</v>
      </c>
      <c r="O473" s="505" t="s">
        <v>3503</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5668</v>
      </c>
      <c r="AB473" s="148" t="str">
        <f t="shared" ref="AB473:AB486" si="30">Z473</f>
        <v>ING. JUAN MANUEL GARCÍA ESCOTO</v>
      </c>
      <c r="AC473" s="148" t="s">
        <v>2979</v>
      </c>
      <c r="AD473" s="146" t="s">
        <v>2979</v>
      </c>
      <c r="AE473" s="184" t="str">
        <f>OBRA!Y471</f>
        <v>ING. HECTOR JESUS HERNANDEZ</v>
      </c>
      <c r="AF473" s="19">
        <v>1</v>
      </c>
      <c r="AG473" s="2" t="s">
        <v>1573</v>
      </c>
      <c r="AH473" s="554">
        <f t="shared" si="29"/>
        <v>0</v>
      </c>
      <c r="AI473" s="511"/>
      <c r="AJ473" s="507"/>
      <c r="AK473" s="507"/>
      <c r="AL473" s="626"/>
      <c r="AM473" s="1546"/>
      <c r="AN473" s="1133" t="s">
        <v>67</v>
      </c>
      <c r="AO473" s="563" t="s">
        <v>67</v>
      </c>
      <c r="AP473" s="563" t="s">
        <v>67</v>
      </c>
      <c r="AQ473" s="507"/>
      <c r="AR473" s="507"/>
      <c r="AS473" s="1294" t="s">
        <v>67</v>
      </c>
      <c r="AT473" s="1718"/>
      <c r="AU473" s="1718"/>
      <c r="AV473" s="1718"/>
      <c r="AW473" s="1718"/>
      <c r="AX473" s="1718"/>
      <c r="AY473" s="1718"/>
      <c r="AZ473" s="1718"/>
      <c r="BA473" s="1718"/>
      <c r="BB473" s="1718"/>
      <c r="BC473" s="1718"/>
      <c r="BD473" s="1718"/>
      <c r="BE473" s="1718"/>
      <c r="BF473" s="1718"/>
      <c r="BG473" s="1718"/>
      <c r="BH473" s="1718"/>
      <c r="BI473" s="413"/>
      <c r="BJ473" s="12"/>
    </row>
    <row r="474" spans="1:62" ht="84" hidden="1" customHeight="1">
      <c r="A474" s="16">
        <f>OBRA!K472</f>
        <v>2020</v>
      </c>
      <c r="B474" s="781" t="s">
        <v>2094</v>
      </c>
      <c r="C474" s="781">
        <v>205.18</v>
      </c>
      <c r="D474" s="781"/>
      <c r="E474" s="2" t="str">
        <f>OBRA!N472</f>
        <v>CUENTA CORRIENTE</v>
      </c>
      <c r="F474" s="156" t="s">
        <v>1427</v>
      </c>
      <c r="G474" s="156" t="s">
        <v>2864</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3785</v>
      </c>
      <c r="L474" s="3"/>
      <c r="M474" s="674" t="s">
        <v>3778</v>
      </c>
      <c r="N474" s="674" t="s">
        <v>1975</v>
      </c>
      <c r="O474" s="505" t="s">
        <v>3503</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5668</v>
      </c>
      <c r="AB474" s="148" t="str">
        <f t="shared" si="30"/>
        <v>ING. JUAN MANUEL GARCÍA ESCOTO</v>
      </c>
      <c r="AC474" s="148" t="s">
        <v>2979</v>
      </c>
      <c r="AD474" s="146" t="s">
        <v>2979</v>
      </c>
      <c r="AE474" s="184" t="str">
        <f>OBRA!Y472</f>
        <v>ING. HECTOR JESUS HERNANDEZ</v>
      </c>
      <c r="AF474" s="19">
        <v>1</v>
      </c>
      <c r="AG474" s="2" t="s">
        <v>1573</v>
      </c>
      <c r="AH474" s="554">
        <f t="shared" si="29"/>
        <v>0</v>
      </c>
      <c r="AI474" s="511"/>
      <c r="AJ474" s="507"/>
      <c r="AK474" s="507"/>
      <c r="AL474" s="626"/>
      <c r="AM474" s="1546"/>
      <c r="AN474" s="1133" t="s">
        <v>67</v>
      </c>
      <c r="AO474" s="563" t="s">
        <v>67</v>
      </c>
      <c r="AP474" s="563" t="s">
        <v>67</v>
      </c>
      <c r="AQ474" s="507"/>
      <c r="AR474" s="507"/>
      <c r="AS474" s="1294" t="s">
        <v>67</v>
      </c>
      <c r="AT474" s="1718"/>
      <c r="AU474" s="1718"/>
      <c r="AV474" s="1718"/>
      <c r="AW474" s="1718"/>
      <c r="AX474" s="1718"/>
      <c r="AY474" s="1718"/>
      <c r="AZ474" s="1718"/>
      <c r="BA474" s="1718"/>
      <c r="BB474" s="1718"/>
      <c r="BC474" s="1718"/>
      <c r="BD474" s="1718"/>
      <c r="BE474" s="1718"/>
      <c r="BF474" s="1718"/>
      <c r="BG474" s="1718"/>
      <c r="BH474" s="1718"/>
      <c r="BI474" s="413"/>
      <c r="BJ474" s="12"/>
    </row>
    <row r="475" spans="1:62" ht="88.5" hidden="1" customHeight="1">
      <c r="A475" s="16">
        <f>OBRA!K473</f>
        <v>2020</v>
      </c>
      <c r="B475" s="781" t="s">
        <v>2094</v>
      </c>
      <c r="C475" s="781">
        <v>205.19</v>
      </c>
      <c r="D475" s="781"/>
      <c r="E475" s="2" t="str">
        <f>OBRA!N473</f>
        <v>CUENTA CORRIENTE</v>
      </c>
      <c r="F475" s="156" t="s">
        <v>1427</v>
      </c>
      <c r="G475" s="156" t="s">
        <v>2864</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3785</v>
      </c>
      <c r="L475" s="3"/>
      <c r="M475" s="674" t="s">
        <v>3779</v>
      </c>
      <c r="N475" s="674" t="s">
        <v>3779</v>
      </c>
      <c r="O475" s="505" t="s">
        <v>3503</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5668</v>
      </c>
      <c r="AB475" s="148" t="str">
        <f t="shared" si="30"/>
        <v>ING. JUAN MANUEL GARCÍA ESCOTO</v>
      </c>
      <c r="AC475" s="148" t="s">
        <v>2979</v>
      </c>
      <c r="AD475" s="146" t="s">
        <v>2979</v>
      </c>
      <c r="AE475" s="184" t="str">
        <f>OBRA!Y473</f>
        <v>ING. HECTOR JESUS HERNANDEZ</v>
      </c>
      <c r="AF475" s="19">
        <v>1</v>
      </c>
      <c r="AG475" s="2" t="s">
        <v>1573</v>
      </c>
      <c r="AH475" s="554">
        <f t="shared" si="29"/>
        <v>0</v>
      </c>
      <c r="AI475" s="511"/>
      <c r="AJ475" s="507"/>
      <c r="AK475" s="507"/>
      <c r="AL475" s="626"/>
      <c r="AM475" s="1546"/>
      <c r="AN475" s="1133" t="s">
        <v>67</v>
      </c>
      <c r="AO475" s="563" t="s">
        <v>67</v>
      </c>
      <c r="AP475" s="563" t="s">
        <v>67</v>
      </c>
      <c r="AQ475" s="507"/>
      <c r="AR475" s="507"/>
      <c r="AS475" s="1294" t="s">
        <v>67</v>
      </c>
      <c r="AT475" s="1718"/>
      <c r="AU475" s="1718"/>
      <c r="AV475" s="1718"/>
      <c r="AW475" s="1718"/>
      <c r="AX475" s="1718"/>
      <c r="AY475" s="1718"/>
      <c r="AZ475" s="1718"/>
      <c r="BA475" s="1718"/>
      <c r="BB475" s="1718"/>
      <c r="BC475" s="1718"/>
      <c r="BD475" s="1718"/>
      <c r="BE475" s="1718"/>
      <c r="BF475" s="1718"/>
      <c r="BG475" s="1718"/>
      <c r="BH475" s="1718"/>
      <c r="BI475" s="413"/>
      <c r="BJ475" s="12"/>
    </row>
    <row r="476" spans="1:62" ht="102" hidden="1" customHeight="1">
      <c r="A476" s="16">
        <f>OBRA!K474</f>
        <v>2020</v>
      </c>
      <c r="B476" s="781" t="s">
        <v>2094</v>
      </c>
      <c r="C476" s="781">
        <v>205.2</v>
      </c>
      <c r="D476" s="781"/>
      <c r="E476" s="2" t="str">
        <f>OBRA!N474</f>
        <v>CUENTA CORRIENTE</v>
      </c>
      <c r="F476" s="156" t="s">
        <v>1427</v>
      </c>
      <c r="G476" s="156" t="s">
        <v>2864</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3785</v>
      </c>
      <c r="L476" s="3"/>
      <c r="M476" s="674" t="s">
        <v>3779</v>
      </c>
      <c r="N476" s="674" t="s">
        <v>3779</v>
      </c>
      <c r="O476" s="505" t="s">
        <v>3503</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5668</v>
      </c>
      <c r="AB476" s="148" t="str">
        <f t="shared" si="30"/>
        <v>ING. JUAN MANUEL GARCÍA ESCOTO</v>
      </c>
      <c r="AC476" s="148" t="s">
        <v>2979</v>
      </c>
      <c r="AD476" s="146" t="s">
        <v>2979</v>
      </c>
      <c r="AE476" s="184" t="str">
        <f>OBRA!Y474</f>
        <v>ING. HECTOR JESUS HERNANDEZ</v>
      </c>
      <c r="AF476" s="19">
        <v>1</v>
      </c>
      <c r="AG476" s="2" t="s">
        <v>1573</v>
      </c>
      <c r="AH476" s="554">
        <f t="shared" si="29"/>
        <v>0</v>
      </c>
      <c r="AI476" s="511"/>
      <c r="AJ476" s="507"/>
      <c r="AK476" s="507"/>
      <c r="AL476" s="626"/>
      <c r="AM476" s="1546"/>
      <c r="AN476" s="1133" t="s">
        <v>67</v>
      </c>
      <c r="AO476" s="563" t="s">
        <v>67</v>
      </c>
      <c r="AP476" s="563" t="s">
        <v>67</v>
      </c>
      <c r="AQ476" s="507"/>
      <c r="AR476" s="507"/>
      <c r="AS476" s="1294" t="s">
        <v>67</v>
      </c>
      <c r="AT476" s="1718"/>
      <c r="AU476" s="1718"/>
      <c r="AV476" s="1718"/>
      <c r="AW476" s="1718"/>
      <c r="AX476" s="1718"/>
      <c r="AY476" s="1718"/>
      <c r="AZ476" s="1718"/>
      <c r="BA476" s="1718"/>
      <c r="BB476" s="1718"/>
      <c r="BC476" s="1718"/>
      <c r="BD476" s="1718"/>
      <c r="BE476" s="1718"/>
      <c r="BF476" s="1718"/>
      <c r="BG476" s="1718"/>
      <c r="BH476" s="1718"/>
      <c r="BI476" s="413"/>
      <c r="BJ476" s="12"/>
    </row>
    <row r="477" spans="1:62" ht="87.75" hidden="1" customHeight="1">
      <c r="A477" s="16">
        <f>OBRA!K475</f>
        <v>2020</v>
      </c>
      <c r="B477" s="781" t="s">
        <v>2094</v>
      </c>
      <c r="C477" s="781">
        <v>205.21</v>
      </c>
      <c r="D477" s="781"/>
      <c r="E477" s="2" t="str">
        <f>OBRA!N475</f>
        <v>CUENTA CORRIENTE</v>
      </c>
      <c r="F477" s="156" t="s">
        <v>1427</v>
      </c>
      <c r="G477" s="156" t="s">
        <v>2864</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3785</v>
      </c>
      <c r="L477" s="3"/>
      <c r="M477" s="674" t="s">
        <v>3780</v>
      </c>
      <c r="N477" s="674" t="s">
        <v>1975</v>
      </c>
      <c r="O477" s="505" t="s">
        <v>3504</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5668</v>
      </c>
      <c r="AB477" s="148" t="str">
        <f t="shared" si="30"/>
        <v>ING. JUAN MANUEL GARCÍA ESCOTO</v>
      </c>
      <c r="AC477" s="148" t="s">
        <v>2979</v>
      </c>
      <c r="AD477" s="146" t="s">
        <v>2979</v>
      </c>
      <c r="AE477" s="184" t="str">
        <f>OBRA!Y475</f>
        <v>ING. HECTOR JESUS HERNANDEZ</v>
      </c>
      <c r="AF477" s="19">
        <v>1</v>
      </c>
      <c r="AG477" s="2" t="s">
        <v>1573</v>
      </c>
      <c r="AH477" s="554">
        <f t="shared" si="29"/>
        <v>0</v>
      </c>
      <c r="AI477" s="511"/>
      <c r="AJ477" s="507"/>
      <c r="AK477" s="507"/>
      <c r="AL477" s="626"/>
      <c r="AM477" s="1546"/>
      <c r="AN477" s="1133" t="s">
        <v>67</v>
      </c>
      <c r="AO477" s="563" t="s">
        <v>67</v>
      </c>
      <c r="AP477" s="563" t="s">
        <v>67</v>
      </c>
      <c r="AQ477" s="507"/>
      <c r="AR477" s="507"/>
      <c r="AS477" s="1294" t="s">
        <v>67</v>
      </c>
      <c r="AT477" s="1718"/>
      <c r="AU477" s="1718"/>
      <c r="AV477" s="1718"/>
      <c r="AW477" s="1718"/>
      <c r="AX477" s="1718"/>
      <c r="AY477" s="1718"/>
      <c r="AZ477" s="1718"/>
      <c r="BA477" s="1718"/>
      <c r="BB477" s="1718"/>
      <c r="BC477" s="1718"/>
      <c r="BD477" s="1718"/>
      <c r="BE477" s="1718"/>
      <c r="BF477" s="1718"/>
      <c r="BG477" s="1718"/>
      <c r="BH477" s="1718"/>
      <c r="BI477" s="413"/>
      <c r="BJ477" s="12"/>
    </row>
    <row r="478" spans="1:62" ht="102.75" hidden="1" customHeight="1">
      <c r="A478" s="16">
        <f>OBRA!K476</f>
        <v>2020</v>
      </c>
      <c r="B478" s="781" t="s">
        <v>2094</v>
      </c>
      <c r="C478" s="781">
        <v>205.22</v>
      </c>
      <c r="D478" s="781"/>
      <c r="E478" s="2" t="str">
        <f>OBRA!N476</f>
        <v>CUENTA CORRIENTE</v>
      </c>
      <c r="F478" s="156" t="s">
        <v>1427</v>
      </c>
      <c r="G478" s="156" t="s">
        <v>2864</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3785</v>
      </c>
      <c r="L478" s="3"/>
      <c r="M478" s="674" t="s">
        <v>2002</v>
      </c>
      <c r="N478" s="674" t="s">
        <v>1975</v>
      </c>
      <c r="O478" s="505" t="s">
        <v>3504</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5668</v>
      </c>
      <c r="AB478" s="148" t="str">
        <f t="shared" si="30"/>
        <v>ING. JUAN MANUEL GARCÍA ESCOTO</v>
      </c>
      <c r="AC478" s="148" t="s">
        <v>2979</v>
      </c>
      <c r="AD478" s="146" t="s">
        <v>2979</v>
      </c>
      <c r="AE478" s="184" t="str">
        <f>OBRA!Y476</f>
        <v>ING. HECTOR JESUS HERNANDEZ</v>
      </c>
      <c r="AF478" s="19">
        <v>1</v>
      </c>
      <c r="AG478" s="2" t="s">
        <v>1573</v>
      </c>
      <c r="AH478" s="554">
        <f t="shared" si="29"/>
        <v>0</v>
      </c>
      <c r="AI478" s="511"/>
      <c r="AJ478" s="507"/>
      <c r="AK478" s="507"/>
      <c r="AL478" s="626"/>
      <c r="AM478" s="1546"/>
      <c r="AN478" s="1133" t="s">
        <v>67</v>
      </c>
      <c r="AO478" s="563" t="s">
        <v>67</v>
      </c>
      <c r="AP478" s="563" t="s">
        <v>67</v>
      </c>
      <c r="AQ478" s="507"/>
      <c r="AR478" s="507"/>
      <c r="AS478" s="1294" t="s">
        <v>67</v>
      </c>
      <c r="AT478" s="1718"/>
      <c r="AU478" s="1718"/>
      <c r="AV478" s="1718"/>
      <c r="AW478" s="1718"/>
      <c r="AX478" s="1718"/>
      <c r="AY478" s="1718"/>
      <c r="AZ478" s="1718"/>
      <c r="BA478" s="1718"/>
      <c r="BB478" s="1718"/>
      <c r="BC478" s="1718"/>
      <c r="BD478" s="1718"/>
      <c r="BE478" s="1718"/>
      <c r="BF478" s="1718"/>
      <c r="BG478" s="1718"/>
      <c r="BH478" s="1718"/>
      <c r="BI478" s="413"/>
      <c r="BJ478" s="12"/>
    </row>
    <row r="479" spans="1:62" ht="93" hidden="1" customHeight="1">
      <c r="A479" s="16">
        <f>OBRA!K477</f>
        <v>2020</v>
      </c>
      <c r="B479" s="781" t="s">
        <v>2094</v>
      </c>
      <c r="C479" s="781">
        <v>205.23</v>
      </c>
      <c r="D479" s="781"/>
      <c r="E479" s="2" t="str">
        <f>OBRA!N477</f>
        <v>CUENTA CORRIENTE</v>
      </c>
      <c r="F479" s="156" t="s">
        <v>1427</v>
      </c>
      <c r="G479" s="156" t="s">
        <v>2864</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3785</v>
      </c>
      <c r="L479" s="3"/>
      <c r="M479" s="674" t="s">
        <v>1976</v>
      </c>
      <c r="N479" s="674" t="s">
        <v>1976</v>
      </c>
      <c r="O479" s="505" t="s">
        <v>3504</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5668</v>
      </c>
      <c r="AB479" s="148" t="str">
        <f t="shared" si="30"/>
        <v>ING. JUAN MANUEL GARCÍA ESCOTO</v>
      </c>
      <c r="AC479" s="148" t="s">
        <v>2979</v>
      </c>
      <c r="AD479" s="146" t="s">
        <v>2979</v>
      </c>
      <c r="AE479" s="184" t="str">
        <f>OBRA!Y477</f>
        <v>ING. HECTOR JESUS HERNANDEZ</v>
      </c>
      <c r="AF479" s="19">
        <v>1</v>
      </c>
      <c r="AG479" s="2" t="s">
        <v>1573</v>
      </c>
      <c r="AH479" s="554">
        <f t="shared" si="29"/>
        <v>0</v>
      </c>
      <c r="AI479" s="511"/>
      <c r="AJ479" s="507"/>
      <c r="AK479" s="507"/>
      <c r="AL479" s="626"/>
      <c r="AM479" s="1546"/>
      <c r="AN479" s="1133" t="s">
        <v>67</v>
      </c>
      <c r="AO479" s="563" t="s">
        <v>67</v>
      </c>
      <c r="AP479" s="563" t="s">
        <v>67</v>
      </c>
      <c r="AQ479" s="507"/>
      <c r="AR479" s="507"/>
      <c r="AS479" s="1294" t="s">
        <v>67</v>
      </c>
      <c r="AT479" s="1718"/>
      <c r="AU479" s="1718"/>
      <c r="AV479" s="1718"/>
      <c r="AW479" s="1718"/>
      <c r="AX479" s="1718"/>
      <c r="AY479" s="1718"/>
      <c r="AZ479" s="1718"/>
      <c r="BA479" s="1718"/>
      <c r="BB479" s="1718"/>
      <c r="BC479" s="1718"/>
      <c r="BD479" s="1718"/>
      <c r="BE479" s="1718"/>
      <c r="BF479" s="1718"/>
      <c r="BG479" s="1718"/>
      <c r="BH479" s="1718"/>
      <c r="BI479" s="413"/>
      <c r="BJ479" s="12"/>
    </row>
    <row r="480" spans="1:62" ht="83.25" hidden="1" customHeight="1">
      <c r="A480" s="16">
        <f>OBRA!K478</f>
        <v>2020</v>
      </c>
      <c r="B480" s="781" t="s">
        <v>2094</v>
      </c>
      <c r="C480" s="781">
        <v>205.24</v>
      </c>
      <c r="D480" s="781"/>
      <c r="E480" s="2" t="str">
        <f>OBRA!N478</f>
        <v>CUENTA CORRIENTE</v>
      </c>
      <c r="F480" s="156" t="s">
        <v>1427</v>
      </c>
      <c r="G480" s="156" t="s">
        <v>2864</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3785</v>
      </c>
      <c r="L480" s="3"/>
      <c r="M480" s="674" t="s">
        <v>3034</v>
      </c>
      <c r="N480" s="674" t="s">
        <v>2527</v>
      </c>
      <c r="O480" s="505" t="s">
        <v>3504</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5668</v>
      </c>
      <c r="AB480" s="148" t="str">
        <f t="shared" si="30"/>
        <v>ING. JUAN MANUEL GARCÍA ESCOTO</v>
      </c>
      <c r="AC480" s="148" t="s">
        <v>2979</v>
      </c>
      <c r="AD480" s="146" t="s">
        <v>2979</v>
      </c>
      <c r="AE480" s="184" t="str">
        <f>OBRA!Y478</f>
        <v>ING. HECTOR JESUS HERNANDEZ</v>
      </c>
      <c r="AF480" s="19">
        <v>1</v>
      </c>
      <c r="AG480" s="2" t="s">
        <v>1573</v>
      </c>
      <c r="AH480" s="554">
        <f t="shared" si="29"/>
        <v>0</v>
      </c>
      <c r="AI480" s="2">
        <v>4000</v>
      </c>
      <c r="AJ480" s="514">
        <v>4000</v>
      </c>
      <c r="AK480" s="514"/>
      <c r="AL480" s="1542"/>
      <c r="AM480" s="1543"/>
      <c r="AN480" s="1133" t="s">
        <v>67</v>
      </c>
      <c r="AO480" s="563" t="s">
        <v>67</v>
      </c>
      <c r="AP480" s="563" t="s">
        <v>67</v>
      </c>
      <c r="AQ480" s="1311" t="s">
        <v>3656</v>
      </c>
      <c r="AR480" s="1311"/>
      <c r="AS480" s="1294" t="s">
        <v>67</v>
      </c>
      <c r="AT480" s="1718"/>
      <c r="AU480" s="1718"/>
      <c r="AV480" s="1718"/>
      <c r="AW480" s="1718"/>
      <c r="AX480" s="1718"/>
      <c r="AY480" s="1718"/>
      <c r="AZ480" s="1718"/>
      <c r="BA480" s="1718"/>
      <c r="BB480" s="1718"/>
      <c r="BC480" s="1718"/>
      <c r="BD480" s="1718"/>
      <c r="BE480" s="1718"/>
      <c r="BF480" s="1718"/>
      <c r="BG480" s="1718"/>
      <c r="BH480" s="1718"/>
      <c r="BI480" s="413"/>
      <c r="BJ480" s="12"/>
    </row>
    <row r="481" spans="1:62" ht="75" hidden="1" customHeight="1">
      <c r="A481" s="16">
        <f>OBRA!K479</f>
        <v>2020</v>
      </c>
      <c r="B481" s="781" t="s">
        <v>2094</v>
      </c>
      <c r="C481" s="781">
        <v>205.25</v>
      </c>
      <c r="D481" s="781"/>
      <c r="E481" s="2" t="str">
        <f>OBRA!N479</f>
        <v>CUENTA CORRIENTE</v>
      </c>
      <c r="F481" s="156" t="s">
        <v>1427</v>
      </c>
      <c r="G481" s="156" t="s">
        <v>2864</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3785</v>
      </c>
      <c r="L481" s="3"/>
      <c r="M481" s="674" t="s">
        <v>3781</v>
      </c>
      <c r="N481" s="674" t="s">
        <v>1975</v>
      </c>
      <c r="O481" s="505" t="s">
        <v>3504</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5668</v>
      </c>
      <c r="AB481" s="148" t="str">
        <f t="shared" si="30"/>
        <v>ING. JUAN MANUEL GARCÍA ESCOTO</v>
      </c>
      <c r="AC481" s="148" t="s">
        <v>2979</v>
      </c>
      <c r="AD481" s="146" t="s">
        <v>2979</v>
      </c>
      <c r="AE481" s="184" t="str">
        <f>OBRA!Y479</f>
        <v>ING. HECTOR JESUS HERNANDEZ</v>
      </c>
      <c r="AF481" s="19">
        <v>1</v>
      </c>
      <c r="AG481" s="2" t="s">
        <v>1573</v>
      </c>
      <c r="AH481" s="554">
        <f t="shared" si="29"/>
        <v>0</v>
      </c>
      <c r="AI481" s="511"/>
      <c r="AJ481" s="507"/>
      <c r="AK481" s="507"/>
      <c r="AL481" s="626"/>
      <c r="AM481" s="1546"/>
      <c r="AN481" s="1133" t="s">
        <v>67</v>
      </c>
      <c r="AO481" s="563" t="s">
        <v>67</v>
      </c>
      <c r="AP481" s="563" t="s">
        <v>67</v>
      </c>
      <c r="AQ481" s="1454"/>
      <c r="AR481" s="507"/>
      <c r="AS481" s="1294" t="s">
        <v>67</v>
      </c>
      <c r="AT481" s="1718"/>
      <c r="AU481" s="1718"/>
      <c r="AV481" s="1718"/>
      <c r="AW481" s="1718"/>
      <c r="AX481" s="1718"/>
      <c r="AY481" s="1718"/>
      <c r="AZ481" s="1718"/>
      <c r="BA481" s="1718"/>
      <c r="BB481" s="1718"/>
      <c r="BC481" s="1718"/>
      <c r="BD481" s="1718"/>
      <c r="BE481" s="1718"/>
      <c r="BF481" s="1718"/>
      <c r="BG481" s="1718"/>
      <c r="BH481" s="1718"/>
      <c r="BI481" s="413"/>
      <c r="BJ481" s="12"/>
    </row>
    <row r="482" spans="1:62" ht="87" hidden="1" customHeight="1">
      <c r="A482" s="16">
        <f>OBRA!K480</f>
        <v>2020</v>
      </c>
      <c r="B482" s="781" t="s">
        <v>2094</v>
      </c>
      <c r="C482" s="781">
        <v>205.26</v>
      </c>
      <c r="D482" s="781"/>
      <c r="E482" s="2" t="str">
        <f>OBRA!N480</f>
        <v>CUENTA CORRIENTE</v>
      </c>
      <c r="F482" s="156" t="s">
        <v>1427</v>
      </c>
      <c r="G482" s="156" t="s">
        <v>2864</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3785</v>
      </c>
      <c r="L482" s="3"/>
      <c r="M482" s="674" t="s">
        <v>2666</v>
      </c>
      <c r="N482" s="674" t="s">
        <v>2666</v>
      </c>
      <c r="O482" s="505" t="s">
        <v>3504</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5668</v>
      </c>
      <c r="AB482" s="148" t="str">
        <f t="shared" si="30"/>
        <v>ING. JUAN MANUEL GARCÍA ESCOTO</v>
      </c>
      <c r="AC482" s="148" t="s">
        <v>2979</v>
      </c>
      <c r="AD482" s="146" t="s">
        <v>2979</v>
      </c>
      <c r="AE482" s="184" t="str">
        <f>OBRA!Y480</f>
        <v>ING. HECTOR JESUS HERNANDEZ</v>
      </c>
      <c r="AF482" s="19">
        <v>1</v>
      </c>
      <c r="AG482" s="2" t="s">
        <v>1573</v>
      </c>
      <c r="AH482" s="554">
        <f t="shared" si="29"/>
        <v>0</v>
      </c>
      <c r="AI482" s="511"/>
      <c r="AJ482" s="507"/>
      <c r="AK482" s="507"/>
      <c r="AL482" s="626"/>
      <c r="AM482" s="1546"/>
      <c r="AN482" s="1133" t="s">
        <v>67</v>
      </c>
      <c r="AO482" s="563" t="s">
        <v>67</v>
      </c>
      <c r="AP482" s="563" t="s">
        <v>67</v>
      </c>
      <c r="AQ482" s="507"/>
      <c r="AR482" s="507"/>
      <c r="AS482" s="1294" t="s">
        <v>67</v>
      </c>
      <c r="AT482" s="1718"/>
      <c r="AU482" s="1718"/>
      <c r="AV482" s="1718"/>
      <c r="AW482" s="1718"/>
      <c r="AX482" s="1718"/>
      <c r="AY482" s="1718"/>
      <c r="AZ482" s="1718"/>
      <c r="BA482" s="1718"/>
      <c r="BB482" s="1718"/>
      <c r="BC482" s="1718"/>
      <c r="BD482" s="1718"/>
      <c r="BE482" s="1718"/>
      <c r="BF482" s="1718"/>
      <c r="BG482" s="1718"/>
      <c r="BH482" s="1718"/>
      <c r="BI482" s="413"/>
      <c r="BJ482" s="12"/>
    </row>
    <row r="483" spans="1:62" ht="78.75" hidden="1" customHeight="1">
      <c r="A483" s="16">
        <f>OBRA!K481</f>
        <v>2020</v>
      </c>
      <c r="B483" s="781" t="s">
        <v>2094</v>
      </c>
      <c r="C483" s="781">
        <v>205.27</v>
      </c>
      <c r="D483" s="781"/>
      <c r="E483" s="2" t="str">
        <f>OBRA!N481</f>
        <v>CUENTA CORRIENTE</v>
      </c>
      <c r="F483" s="156" t="s">
        <v>1427</v>
      </c>
      <c r="G483" s="156" t="s">
        <v>2864</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3785</v>
      </c>
      <c r="L483" s="3"/>
      <c r="M483" s="674" t="s">
        <v>2509</v>
      </c>
      <c r="N483" s="674" t="s">
        <v>2509</v>
      </c>
      <c r="O483" s="505" t="s">
        <v>3504</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5668</v>
      </c>
      <c r="AB483" s="148" t="str">
        <f t="shared" si="30"/>
        <v>ING. JUAN MANUEL GARCÍA ESCOTO</v>
      </c>
      <c r="AC483" s="148" t="s">
        <v>2979</v>
      </c>
      <c r="AD483" s="146" t="s">
        <v>2979</v>
      </c>
      <c r="AE483" s="184" t="str">
        <f>OBRA!Y481</f>
        <v>ING. HECTOR JESUS HERNANDEZ</v>
      </c>
      <c r="AF483" s="19">
        <v>1</v>
      </c>
      <c r="AG483" s="2" t="s">
        <v>1573</v>
      </c>
      <c r="AH483" s="554">
        <f t="shared" si="29"/>
        <v>0</v>
      </c>
      <c r="AI483" s="511"/>
      <c r="AJ483" s="507"/>
      <c r="AK483" s="507"/>
      <c r="AL483" s="626"/>
      <c r="AM483" s="1546"/>
      <c r="AN483" s="1133" t="s">
        <v>67</v>
      </c>
      <c r="AO483" s="563" t="s">
        <v>67</v>
      </c>
      <c r="AP483" s="563" t="s">
        <v>67</v>
      </c>
      <c r="AQ483" s="507"/>
      <c r="AR483" s="507"/>
      <c r="AS483" s="1294" t="s">
        <v>67</v>
      </c>
      <c r="AT483" s="1718"/>
      <c r="AU483" s="1718"/>
      <c r="AV483" s="1718"/>
      <c r="AW483" s="1718"/>
      <c r="AX483" s="1718"/>
      <c r="AY483" s="1718"/>
      <c r="AZ483" s="1718"/>
      <c r="BA483" s="1718"/>
      <c r="BB483" s="1718"/>
      <c r="BC483" s="1718"/>
      <c r="BD483" s="1718"/>
      <c r="BE483" s="1718"/>
      <c r="BF483" s="1718"/>
      <c r="BG483" s="1718"/>
      <c r="BH483" s="1718"/>
      <c r="BI483" s="413"/>
      <c r="BJ483" s="12"/>
    </row>
    <row r="484" spans="1:62" ht="111.75" hidden="1" customHeight="1">
      <c r="A484" s="16">
        <f>OBRA!K482</f>
        <v>2020</v>
      </c>
      <c r="B484" s="781" t="s">
        <v>2094</v>
      </c>
      <c r="C484" s="781">
        <v>205.28</v>
      </c>
      <c r="D484" s="781"/>
      <c r="E484" s="2" t="str">
        <f>OBRA!N482</f>
        <v>CUENTA CORRIENTE</v>
      </c>
      <c r="F484" s="156" t="s">
        <v>1427</v>
      </c>
      <c r="G484" s="156" t="s">
        <v>2864</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3785</v>
      </c>
      <c r="L484" s="3"/>
      <c r="M484" s="674" t="s">
        <v>3782</v>
      </c>
      <c r="N484" s="674" t="s">
        <v>1975</v>
      </c>
      <c r="O484" s="505" t="s">
        <v>3504</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5668</v>
      </c>
      <c r="AB484" s="148" t="str">
        <f t="shared" si="30"/>
        <v>ING. JUAN MANUEL GARCÍA ESCOTO</v>
      </c>
      <c r="AC484" s="148" t="s">
        <v>2979</v>
      </c>
      <c r="AD484" s="146" t="s">
        <v>2979</v>
      </c>
      <c r="AE484" s="184" t="str">
        <f>OBRA!Y482</f>
        <v>ING. HECTOR JESUS HERNANDEZ</v>
      </c>
      <c r="AF484" s="19">
        <v>1</v>
      </c>
      <c r="AG484" s="2" t="s">
        <v>1573</v>
      </c>
      <c r="AH484" s="554">
        <f t="shared" si="29"/>
        <v>0</v>
      </c>
      <c r="AI484" s="511"/>
      <c r="AJ484" s="507"/>
      <c r="AK484" s="507"/>
      <c r="AL484" s="626"/>
      <c r="AM484" s="1546"/>
      <c r="AN484" s="1133" t="s">
        <v>67</v>
      </c>
      <c r="AO484" s="563" t="s">
        <v>67</v>
      </c>
      <c r="AP484" s="563" t="s">
        <v>67</v>
      </c>
      <c r="AQ484" s="507"/>
      <c r="AR484" s="507"/>
      <c r="AS484" s="1294" t="s">
        <v>67</v>
      </c>
      <c r="AT484" s="1718"/>
      <c r="AU484" s="1718"/>
      <c r="AV484" s="1718"/>
      <c r="AW484" s="1718"/>
      <c r="AX484" s="1718"/>
      <c r="AY484" s="1718"/>
      <c r="AZ484" s="1718"/>
      <c r="BA484" s="1718"/>
      <c r="BB484" s="1718"/>
      <c r="BC484" s="1718"/>
      <c r="BD484" s="1718"/>
      <c r="BE484" s="1718"/>
      <c r="BF484" s="1718"/>
      <c r="BG484" s="1718"/>
      <c r="BH484" s="1718"/>
      <c r="BI484" s="413"/>
      <c r="BJ484" s="12"/>
    </row>
    <row r="485" spans="1:62"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5668</v>
      </c>
      <c r="AB485" s="149" t="str">
        <f t="shared" si="30"/>
        <v>ING. JUAN MANUEL GARCÍA ESCOTO</v>
      </c>
      <c r="AC485" s="149"/>
      <c r="AD485" s="147"/>
      <c r="AE485" s="185">
        <f>OBRA!Y483</f>
        <v>0</v>
      </c>
      <c r="AF485" s="84"/>
      <c r="AG485" s="85"/>
      <c r="AH485" s="185" t="e">
        <f t="shared" si="29"/>
        <v>#DIV/0!</v>
      </c>
      <c r="AI485" s="85"/>
      <c r="AJ485" s="515"/>
      <c r="AK485" s="515"/>
      <c r="AL485" s="1544"/>
      <c r="AM485" s="1545"/>
      <c r="AN485" s="821"/>
      <c r="AO485" s="821" t="s">
        <v>67</v>
      </c>
      <c r="AP485" s="821" t="s">
        <v>67</v>
      </c>
      <c r="AQ485" s="515"/>
      <c r="AR485" s="515"/>
      <c r="AS485" s="562"/>
      <c r="AT485" s="1827"/>
      <c r="AU485" s="1827"/>
      <c r="AV485" s="1827"/>
      <c r="AW485" s="1827"/>
      <c r="AX485" s="1827"/>
      <c r="AY485" s="1827"/>
      <c r="AZ485" s="1827"/>
      <c r="BA485" s="1827"/>
      <c r="BB485" s="1827"/>
      <c r="BC485" s="1827"/>
      <c r="BD485" s="1827"/>
      <c r="BE485" s="1827"/>
      <c r="BF485" s="1827"/>
      <c r="BG485" s="1827"/>
      <c r="BH485" s="1827"/>
      <c r="BI485" s="422"/>
      <c r="BJ485" s="103"/>
    </row>
    <row r="486" spans="1:62" ht="69.75" hidden="1" customHeight="1">
      <c r="A486" s="16">
        <f>OBRA!K484</f>
        <v>2020</v>
      </c>
      <c r="B486" s="781" t="s">
        <v>2094</v>
      </c>
      <c r="C486" s="781">
        <v>205.3</v>
      </c>
      <c r="D486" s="781"/>
      <c r="E486" s="2" t="str">
        <f>OBRA!N484</f>
        <v>CUENTA CORRIENTE</v>
      </c>
      <c r="F486" s="156" t="s">
        <v>1427</v>
      </c>
      <c r="G486" s="156" t="s">
        <v>2864</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3956</v>
      </c>
      <c r="L486" s="674"/>
      <c r="M486" s="674" t="s">
        <v>2653</v>
      </c>
      <c r="N486" s="674" t="s">
        <v>2578</v>
      </c>
      <c r="O486" s="505" t="s">
        <v>3504</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3958</v>
      </c>
      <c r="Z486" s="146" t="str">
        <f>OBRA!X484</f>
        <v>ING. JUAN MANUEL GARCÍA ESCOTO</v>
      </c>
      <c r="AA486" s="146" t="s">
        <v>5668</v>
      </c>
      <c r="AB486" s="148" t="str">
        <f t="shared" si="30"/>
        <v>ING. JUAN MANUEL GARCÍA ESCOTO</v>
      </c>
      <c r="AC486" s="148" t="s">
        <v>2979</v>
      </c>
      <c r="AD486" s="146" t="s">
        <v>2979</v>
      </c>
      <c r="AE486" s="184" t="str">
        <f>OBRA!Y484</f>
        <v>ING. HECTOR JESUS HERNANDEZ</v>
      </c>
      <c r="AF486" s="161"/>
      <c r="AG486" s="2" t="s">
        <v>3957</v>
      </c>
      <c r="AH486" s="554" t="e">
        <f t="shared" si="29"/>
        <v>#DIV/0!</v>
      </c>
      <c r="AI486" s="511"/>
      <c r="AJ486" s="507"/>
      <c r="AK486" s="507"/>
      <c r="AL486" s="626"/>
      <c r="AM486" s="1546"/>
      <c r="AN486" s="1133" t="s">
        <v>67</v>
      </c>
      <c r="AO486" s="563" t="s">
        <v>67</v>
      </c>
      <c r="AP486" s="563" t="s">
        <v>67</v>
      </c>
      <c r="AQ486" s="514" t="s">
        <v>67</v>
      </c>
      <c r="AR486" s="514"/>
      <c r="AS486" s="1294" t="s">
        <v>67</v>
      </c>
      <c r="AT486" s="1718"/>
      <c r="AU486" s="1718"/>
      <c r="AV486" s="1718"/>
      <c r="AW486" s="1718"/>
      <c r="AX486" s="1718"/>
      <c r="AY486" s="1718"/>
      <c r="AZ486" s="1718"/>
      <c r="BA486" s="1718"/>
      <c r="BB486" s="1718"/>
      <c r="BC486" s="1718"/>
      <c r="BD486" s="1718"/>
      <c r="BE486" s="1718"/>
      <c r="BF486" s="1718"/>
      <c r="BG486" s="1718"/>
      <c r="BH486" s="1718"/>
      <c r="BI486" s="413"/>
      <c r="BJ486" s="12"/>
    </row>
    <row r="487" spans="1:62" ht="82.5" hidden="1" customHeight="1">
      <c r="A487" s="16">
        <f>OBRA!K485</f>
        <v>2020</v>
      </c>
      <c r="B487" s="781" t="s">
        <v>2094</v>
      </c>
      <c r="C487" s="781">
        <v>205.31</v>
      </c>
      <c r="D487" s="781"/>
      <c r="E487" s="2" t="str">
        <f>OBRA!N485</f>
        <v>CUENTA CORRIENTE</v>
      </c>
      <c r="F487" s="156" t="s">
        <v>1427</v>
      </c>
      <c r="G487" s="156" t="s">
        <v>2864</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3955</v>
      </c>
      <c r="L487" s="674"/>
      <c r="M487" s="674" t="s">
        <v>2653</v>
      </c>
      <c r="N487" s="674" t="s">
        <v>2578</v>
      </c>
      <c r="O487" s="505" t="s">
        <v>3504</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3958</v>
      </c>
      <c r="Z487" s="146" t="str">
        <f>OBRA!X485</f>
        <v>ING. JUAN MANUEL GARCÍA ESCOTO</v>
      </c>
      <c r="AA487" s="146" t="s">
        <v>5668</v>
      </c>
      <c r="AB487" s="148" t="s">
        <v>2905</v>
      </c>
      <c r="AC487" s="148" t="s">
        <v>3340</v>
      </c>
      <c r="AD487" s="146" t="s">
        <v>3341</v>
      </c>
      <c r="AE487" s="184" t="str">
        <f>OBRA!Y485</f>
        <v>ING. HECTOR JESUS HERNANDEZ</v>
      </c>
      <c r="AF487" s="161"/>
      <c r="AG487" s="2" t="s">
        <v>3957</v>
      </c>
      <c r="AH487" s="554" t="e">
        <f t="shared" si="29"/>
        <v>#DIV/0!</v>
      </c>
      <c r="AI487" s="511"/>
      <c r="AJ487" s="507"/>
      <c r="AK487" s="507"/>
      <c r="AL487" s="626"/>
      <c r="AM487" s="1546"/>
      <c r="AN487" s="1133" t="s">
        <v>67</v>
      </c>
      <c r="AO487" s="563" t="s">
        <v>67</v>
      </c>
      <c r="AP487" s="563" t="s">
        <v>67</v>
      </c>
      <c r="AQ487" s="514" t="s">
        <v>67</v>
      </c>
      <c r="AR487" s="514"/>
      <c r="AS487" s="1294" t="s">
        <v>67</v>
      </c>
      <c r="AT487" s="1718"/>
      <c r="AU487" s="1718"/>
      <c r="AV487" s="1718"/>
      <c r="AW487" s="1718"/>
      <c r="AX487" s="1718"/>
      <c r="AY487" s="1718"/>
      <c r="AZ487" s="1718"/>
      <c r="BA487" s="1718"/>
      <c r="BB487" s="1718"/>
      <c r="BC487" s="1718"/>
      <c r="BD487" s="1718"/>
      <c r="BE487" s="1718"/>
      <c r="BF487" s="1718"/>
      <c r="BG487" s="1718"/>
      <c r="BH487" s="1718"/>
      <c r="BI487" s="413"/>
      <c r="BJ487" s="12"/>
    </row>
    <row r="488" spans="1:62" ht="85.5" hidden="1" customHeight="1">
      <c r="A488" s="16">
        <f>OBRA!K486</f>
        <v>2020</v>
      </c>
      <c r="B488" s="781" t="s">
        <v>2094</v>
      </c>
      <c r="C488" s="781">
        <v>205.32</v>
      </c>
      <c r="D488" s="781"/>
      <c r="E488" s="2" t="str">
        <f>OBRA!N486</f>
        <v>CUENTA CORRIENTE</v>
      </c>
      <c r="F488" s="156" t="s">
        <v>1427</v>
      </c>
      <c r="G488" s="156" t="s">
        <v>2864</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3785</v>
      </c>
      <c r="L488" s="3"/>
      <c r="M488" s="674" t="s">
        <v>4002</v>
      </c>
      <c r="N488" s="674" t="s">
        <v>1975</v>
      </c>
      <c r="O488" s="505" t="s">
        <v>3504</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5668</v>
      </c>
      <c r="AB488" s="148" t="str">
        <f>Z488</f>
        <v>ING. JUAN MANUEL GARCÍA ESCOTO</v>
      </c>
      <c r="AC488" s="148" t="s">
        <v>2979</v>
      </c>
      <c r="AD488" s="146" t="s">
        <v>2979</v>
      </c>
      <c r="AE488" s="184" t="str">
        <f>OBRA!Y486</f>
        <v>ING. HECTOR JESUS HERNANDEZ</v>
      </c>
      <c r="AF488" s="161"/>
      <c r="AG488" s="511"/>
      <c r="AH488" s="554" t="e">
        <f t="shared" si="29"/>
        <v>#DIV/0!</v>
      </c>
      <c r="AI488" s="511"/>
      <c r="AJ488" s="507"/>
      <c r="AK488" s="507"/>
      <c r="AL488" s="626"/>
      <c r="AM488" s="1546"/>
      <c r="AN488" s="1133" t="s">
        <v>67</v>
      </c>
      <c r="AO488" s="563" t="s">
        <v>67</v>
      </c>
      <c r="AP488" s="563" t="s">
        <v>67</v>
      </c>
      <c r="AQ488" s="514" t="s">
        <v>67</v>
      </c>
      <c r="AR488" s="514"/>
      <c r="AS488" s="1294" t="s">
        <v>67</v>
      </c>
      <c r="AT488" s="1718"/>
      <c r="AU488" s="1718"/>
      <c r="AV488" s="1718"/>
      <c r="AW488" s="1718"/>
      <c r="AX488" s="1718"/>
      <c r="AY488" s="1718"/>
      <c r="AZ488" s="1718"/>
      <c r="BA488" s="1718"/>
      <c r="BB488" s="1718"/>
      <c r="BC488" s="1718"/>
      <c r="BD488" s="1718"/>
      <c r="BE488" s="1718"/>
      <c r="BF488" s="1718"/>
      <c r="BG488" s="1718"/>
      <c r="BH488" s="1718"/>
      <c r="BI488" s="413"/>
      <c r="BJ488" s="12"/>
    </row>
    <row r="489" spans="1:62" ht="84.75" hidden="1" customHeight="1">
      <c r="A489" s="16">
        <f>OBRA!K487</f>
        <v>2020</v>
      </c>
      <c r="B489" s="781" t="s">
        <v>2094</v>
      </c>
      <c r="C489" s="781">
        <v>205.33</v>
      </c>
      <c r="D489" s="781"/>
      <c r="E489" s="2" t="str">
        <f>OBRA!N487</f>
        <v>CUENTA CORRIENTE</v>
      </c>
      <c r="F489" s="156" t="s">
        <v>1427</v>
      </c>
      <c r="G489" s="156" t="s">
        <v>2864</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3955</v>
      </c>
      <c r="L489" s="674"/>
      <c r="M489" s="674" t="s">
        <v>3993</v>
      </c>
      <c r="N489" s="674" t="s">
        <v>1975</v>
      </c>
      <c r="O489" s="505" t="s">
        <v>3504</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5668</v>
      </c>
      <c r="AB489" s="148" t="str">
        <f>Z489</f>
        <v>ING. JUAN MANUEL GARCÍA ESCOTO</v>
      </c>
      <c r="AC489" s="148" t="s">
        <v>2979</v>
      </c>
      <c r="AD489" s="146" t="s">
        <v>2979</v>
      </c>
      <c r="AE489" s="184" t="str">
        <f>OBRA!Y487</f>
        <v>ING. HECTOR JESUS HERNANDEZ</v>
      </c>
      <c r="AF489" s="161"/>
      <c r="AG489" s="2" t="s">
        <v>2297</v>
      </c>
      <c r="AH489" s="554" t="e">
        <f t="shared" si="29"/>
        <v>#DIV/0!</v>
      </c>
      <c r="AI489" s="511"/>
      <c r="AJ489" s="507"/>
      <c r="AK489" s="507"/>
      <c r="AL489" s="626"/>
      <c r="AM489" s="1546"/>
      <c r="AN489" s="1133" t="s">
        <v>67</v>
      </c>
      <c r="AO489" s="563" t="s">
        <v>67</v>
      </c>
      <c r="AP489" s="563" t="s">
        <v>67</v>
      </c>
      <c r="AQ489" s="514" t="s">
        <v>67</v>
      </c>
      <c r="AR489" s="514"/>
      <c r="AS489" s="1294" t="s">
        <v>67</v>
      </c>
      <c r="AT489" s="1718"/>
      <c r="AU489" s="1718"/>
      <c r="AV489" s="1718"/>
      <c r="AW489" s="1718"/>
      <c r="AX489" s="1718"/>
      <c r="AY489" s="1718"/>
      <c r="AZ489" s="1718"/>
      <c r="BA489" s="1718"/>
      <c r="BB489" s="1718"/>
      <c r="BC489" s="1718"/>
      <c r="BD489" s="1718"/>
      <c r="BE489" s="1718"/>
      <c r="BF489" s="1718"/>
      <c r="BG489" s="1718"/>
      <c r="BH489" s="1718"/>
      <c r="BI489" s="413"/>
      <c r="BJ489" s="12"/>
    </row>
    <row r="490" spans="1:62"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3956</v>
      </c>
      <c r="L490" s="3" t="s">
        <v>4750</v>
      </c>
      <c r="M490" s="674" t="s">
        <v>4086</v>
      </c>
      <c r="N490" s="674" t="s">
        <v>1975</v>
      </c>
      <c r="O490" s="505" t="s">
        <v>4131</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4126</v>
      </c>
      <c r="Z490" s="146" t="str">
        <f>OBRA!X488</f>
        <v xml:space="preserve">GRUPO CONSTRUCTOR PAVIMAQ, S.A. DE C.V. </v>
      </c>
      <c r="AA490" s="146" t="s">
        <v>5669</v>
      </c>
      <c r="AB490" s="148" t="s">
        <v>2804</v>
      </c>
      <c r="AC490" s="148" t="s">
        <v>2803</v>
      </c>
      <c r="AD490" s="146" t="s">
        <v>4127</v>
      </c>
      <c r="AE490" s="184" t="str">
        <f>OBRA!Y488</f>
        <v>ARQ. CESAR ANTONIO ALONSO JIMENEZ</v>
      </c>
      <c r="AF490" s="19">
        <v>78.099999999999994</v>
      </c>
      <c r="AG490" s="2" t="s">
        <v>1450</v>
      </c>
      <c r="AH490" s="607">
        <f t="shared" si="29"/>
        <v>2005.2453265044817</v>
      </c>
      <c r="AI490" s="2">
        <v>120</v>
      </c>
      <c r="AJ490" s="514">
        <v>120</v>
      </c>
      <c r="AK490" s="514"/>
      <c r="AL490" s="1551">
        <v>20.281600999999998</v>
      </c>
      <c r="AM490" s="1552">
        <v>103.41943000000001</v>
      </c>
      <c r="AN490" s="563" t="s">
        <v>4132</v>
      </c>
      <c r="AO490" s="563" t="s">
        <v>4132</v>
      </c>
      <c r="AP490" s="563" t="s">
        <v>4132</v>
      </c>
      <c r="AQ490" s="502" t="s">
        <v>4132</v>
      </c>
      <c r="AR490" s="502"/>
      <c r="AS490" s="1535" t="s">
        <v>4132</v>
      </c>
      <c r="AT490" s="1849"/>
      <c r="AU490" s="1849"/>
      <c r="AV490" s="1849"/>
      <c r="AW490" s="1849"/>
      <c r="AX490" s="1849"/>
      <c r="AY490" s="1849"/>
      <c r="AZ490" s="1849"/>
      <c r="BA490" s="1849"/>
      <c r="BB490" s="1718"/>
      <c r="BC490" s="1718"/>
      <c r="BD490" s="1718"/>
      <c r="BE490" s="1718"/>
      <c r="BF490" s="1718"/>
      <c r="BG490" s="1718"/>
      <c r="BH490" s="1718"/>
      <c r="BI490" s="413" t="s">
        <v>550</v>
      </c>
      <c r="BJ490" s="12"/>
    </row>
    <row r="491" spans="1:62"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4148</v>
      </c>
      <c r="L491" s="3" t="s">
        <v>4755</v>
      </c>
      <c r="M491" s="674" t="s">
        <v>4005</v>
      </c>
      <c r="N491" s="3" t="s">
        <v>2541</v>
      </c>
      <c r="O491" s="505" t="s">
        <v>4131</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4128</v>
      </c>
      <c r="Z491" s="146" t="str">
        <f>OBRA!X489</f>
        <v>ING. OCTAVIO AUGUSTO GONZALEZ TREJO</v>
      </c>
      <c r="AA491" s="146" t="s">
        <v>5668</v>
      </c>
      <c r="AB491" s="148" t="str">
        <f>Z491</f>
        <v>ING. OCTAVIO AUGUSTO GONZALEZ TREJO</v>
      </c>
      <c r="AC491" s="148" t="s">
        <v>2962</v>
      </c>
      <c r="AD491" s="146" t="s">
        <v>2962</v>
      </c>
      <c r="AE491" s="184" t="str">
        <f>OBRA!Y489</f>
        <v>LIC. SALVADOR CONTRERAS OLGUÍN</v>
      </c>
      <c r="AF491" s="19">
        <v>992</v>
      </c>
      <c r="AG491" s="2" t="s">
        <v>1548</v>
      </c>
      <c r="AH491" s="607">
        <f t="shared" si="29"/>
        <v>691.47609879032257</v>
      </c>
      <c r="AI491" s="2">
        <v>80</v>
      </c>
      <c r="AJ491" s="514">
        <v>1800</v>
      </c>
      <c r="AK491" s="514"/>
      <c r="AL491" s="1551">
        <v>20.291502000000001</v>
      </c>
      <c r="AM491" s="1552">
        <v>103.387879</v>
      </c>
      <c r="AN491" s="563" t="s">
        <v>4133</v>
      </c>
      <c r="AO491" s="563" t="s">
        <v>4133</v>
      </c>
      <c r="AP491" s="563" t="s">
        <v>4133</v>
      </c>
      <c r="AQ491" s="502" t="s">
        <v>4133</v>
      </c>
      <c r="AR491" s="502"/>
      <c r="AS491" s="1535" t="s">
        <v>4133</v>
      </c>
      <c r="AT491" s="1849"/>
      <c r="AU491" s="1849"/>
      <c r="AV491" s="1849"/>
      <c r="AW491" s="1849"/>
      <c r="AX491" s="1849"/>
      <c r="AY491" s="1849"/>
      <c r="AZ491" s="1849"/>
      <c r="BA491" s="1849"/>
      <c r="BB491" s="1718"/>
      <c r="BC491" s="1718"/>
      <c r="BD491" s="1718"/>
      <c r="BE491" s="1718"/>
      <c r="BF491" s="1718"/>
      <c r="BG491" s="1718"/>
      <c r="BH491" s="1718"/>
      <c r="BI491" s="413" t="s">
        <v>550</v>
      </c>
      <c r="BJ491" s="12"/>
    </row>
    <row r="492" spans="1:62"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4149</v>
      </c>
      <c r="L492" s="3" t="s">
        <v>4755</v>
      </c>
      <c r="M492" s="674" t="s">
        <v>4087</v>
      </c>
      <c r="N492" s="674" t="s">
        <v>2580</v>
      </c>
      <c r="O492" s="505" t="s">
        <v>4131</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4129</v>
      </c>
      <c r="Z492" s="146" t="str">
        <f>OBRA!X490</f>
        <v>GRUPO CONSTRUCTOR EDVI S.A. DE C.V.</v>
      </c>
      <c r="AA492" s="146" t="s">
        <v>5669</v>
      </c>
      <c r="AB492" s="148" t="s">
        <v>2905</v>
      </c>
      <c r="AC492" s="2" t="s">
        <v>3340</v>
      </c>
      <c r="AD492" s="146" t="s">
        <v>3341</v>
      </c>
      <c r="AE492" s="184" t="str">
        <f>OBRA!Y490</f>
        <v>ARQ. CESAR ANTONIO ALONSO JIMENEZ</v>
      </c>
      <c r="AF492" s="19">
        <v>317.99</v>
      </c>
      <c r="AG492" s="2" t="s">
        <v>1548</v>
      </c>
      <c r="AH492" s="607">
        <f t="shared" si="29"/>
        <v>804.28019749048713</v>
      </c>
      <c r="AI492" s="2">
        <v>500</v>
      </c>
      <c r="AJ492" s="514">
        <v>1000</v>
      </c>
      <c r="AK492" s="514"/>
      <c r="AL492" s="1551">
        <v>20.289967999999998</v>
      </c>
      <c r="AM492" s="1552">
        <v>103.417689</v>
      </c>
      <c r="AN492" s="563" t="s">
        <v>4130</v>
      </c>
      <c r="AO492" s="563" t="s">
        <v>4130</v>
      </c>
      <c r="AP492" s="563" t="s">
        <v>4130</v>
      </c>
      <c r="AQ492" s="502" t="s">
        <v>4130</v>
      </c>
      <c r="AR492" s="502"/>
      <c r="AS492" s="1535" t="s">
        <v>4130</v>
      </c>
      <c r="AT492" s="1849"/>
      <c r="AU492" s="1849"/>
      <c r="AV492" s="1849"/>
      <c r="AW492" s="1849"/>
      <c r="AX492" s="1849"/>
      <c r="AY492" s="1849"/>
      <c r="AZ492" s="1849"/>
      <c r="BA492" s="1849"/>
      <c r="BB492" s="1718"/>
      <c r="BC492" s="1718"/>
      <c r="BD492" s="1718"/>
      <c r="BE492" s="1718"/>
      <c r="BF492" s="1718"/>
      <c r="BG492" s="1718"/>
      <c r="BH492" s="1718"/>
      <c r="BI492" s="413" t="s">
        <v>550</v>
      </c>
      <c r="BJ492" s="12"/>
    </row>
    <row r="493" spans="1:62"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4150</v>
      </c>
      <c r="L493" s="3" t="s">
        <v>4755</v>
      </c>
      <c r="M493" s="674" t="s">
        <v>4088</v>
      </c>
      <c r="N493" s="674" t="s">
        <v>1975</v>
      </c>
      <c r="O493" s="505" t="s">
        <v>4131</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4134</v>
      </c>
      <c r="Z493" s="146" t="str">
        <f>OBRA!X491</f>
        <v>SERVICIO Y CONSTRUCCIÓN NATENIO S.A. DE C.V.</v>
      </c>
      <c r="AA493" s="146" t="s">
        <v>5669</v>
      </c>
      <c r="AB493" s="400" t="s">
        <v>3951</v>
      </c>
      <c r="AC493" s="389" t="s">
        <v>3952</v>
      </c>
      <c r="AD493" s="389" t="s">
        <v>3953</v>
      </c>
      <c r="AE493" s="184" t="str">
        <f>OBRA!Y491</f>
        <v>ARQ. JAIME CONDE GOMEZ</v>
      </c>
      <c r="AF493" s="19">
        <v>1261.4000000000001</v>
      </c>
      <c r="AG493" s="2" t="s">
        <v>1548</v>
      </c>
      <c r="AH493" s="607">
        <f t="shared" si="29"/>
        <v>765.92958617409215</v>
      </c>
      <c r="AI493" s="2">
        <v>500</v>
      </c>
      <c r="AJ493" s="514">
        <v>500</v>
      </c>
      <c r="AK493" s="514"/>
      <c r="AL493" s="1551">
        <v>20.280659</v>
      </c>
      <c r="AM493" s="1552">
        <v>103.44593</v>
      </c>
      <c r="AN493" s="563" t="s">
        <v>4135</v>
      </c>
      <c r="AO493" s="565"/>
      <c r="AP493" s="563" t="s">
        <v>4135</v>
      </c>
      <c r="AQ493" s="502" t="s">
        <v>4135</v>
      </c>
      <c r="AR493" s="502"/>
      <c r="AS493" s="1534"/>
      <c r="AT493" s="1849"/>
      <c r="AU493" s="1849"/>
      <c r="AV493" s="1849"/>
      <c r="AW493" s="1849"/>
      <c r="AX493" s="1849"/>
      <c r="AY493" s="1849"/>
      <c r="AZ493" s="1849"/>
      <c r="BA493" s="1849"/>
      <c r="BB493" s="1718"/>
      <c r="BC493" s="1718"/>
      <c r="BD493" s="1718"/>
      <c r="BE493" s="1718"/>
      <c r="BF493" s="1718"/>
      <c r="BG493" s="1718"/>
      <c r="BH493" s="1718"/>
      <c r="BI493" s="413"/>
      <c r="BJ493" s="12"/>
    </row>
    <row r="494" spans="1:62"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4750</v>
      </c>
      <c r="M494" s="674" t="s">
        <v>4087</v>
      </c>
      <c r="N494" s="674" t="s">
        <v>2580</v>
      </c>
      <c r="O494" s="505" t="s">
        <v>4131</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4136</v>
      </c>
      <c r="Z494" s="146" t="str">
        <f>OBRA!X492</f>
        <v>GRUPO CONSTRUCTOR EDVI SA DE CV</v>
      </c>
      <c r="AA494" s="146" t="s">
        <v>5669</v>
      </c>
      <c r="AB494" s="400" t="s">
        <v>3951</v>
      </c>
      <c r="AC494" s="1111" t="s">
        <v>3952</v>
      </c>
      <c r="AD494" s="389" t="s">
        <v>3953</v>
      </c>
      <c r="AE494" s="184" t="str">
        <f>OBRA!Y492</f>
        <v>ARQ. CESAR ANTONIO ALONSO JIMENEZ</v>
      </c>
      <c r="AF494" s="19">
        <v>74.2</v>
      </c>
      <c r="AG494" s="2" t="s">
        <v>1450</v>
      </c>
      <c r="AH494" s="607">
        <f t="shared" ref="AH494:AH527" si="31">X494/AF494</f>
        <v>1796.4106469002697</v>
      </c>
      <c r="AI494" s="2">
        <v>150</v>
      </c>
      <c r="AJ494" s="514">
        <v>500</v>
      </c>
      <c r="AK494" s="514"/>
      <c r="AL494" s="1551">
        <v>20.289967999999998</v>
      </c>
      <c r="AM494" s="1552">
        <v>103.417689</v>
      </c>
      <c r="AN494" s="563" t="s">
        <v>4137</v>
      </c>
      <c r="AO494" s="563" t="s">
        <v>4137</v>
      </c>
      <c r="AP494" s="563" t="s">
        <v>4137</v>
      </c>
      <c r="AQ494" s="502" t="s">
        <v>4137</v>
      </c>
      <c r="AR494" s="502"/>
      <c r="AS494" s="1535" t="s">
        <v>4137</v>
      </c>
      <c r="AT494" s="1849"/>
      <c r="AU494" s="1849"/>
      <c r="AV494" s="1849"/>
      <c r="AW494" s="1849"/>
      <c r="AX494" s="1849"/>
      <c r="AY494" s="1849"/>
      <c r="AZ494" s="1849"/>
      <c r="BA494" s="1849"/>
      <c r="BB494" s="1718"/>
      <c r="BC494" s="1718"/>
      <c r="BD494" s="1718"/>
      <c r="BE494" s="1718"/>
      <c r="BF494" s="1718"/>
      <c r="BG494" s="1718"/>
      <c r="BH494" s="1718"/>
      <c r="BI494" s="413"/>
      <c r="BJ494" s="12"/>
    </row>
    <row r="495" spans="1:62"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6249</v>
      </c>
      <c r="M495" s="674" t="s">
        <v>4089</v>
      </c>
      <c r="N495" s="674" t="s">
        <v>1975</v>
      </c>
      <c r="O495" s="532" t="s">
        <v>4131</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2823</v>
      </c>
      <c r="Z495" s="146" t="str">
        <f>OBRA!X493</f>
        <v>SONAYBER INGENIERIA Y CONSTRUCCIONES S.A. DE C.V.</v>
      </c>
      <c r="AA495" s="146" t="s">
        <v>5669</v>
      </c>
      <c r="AB495" s="148" t="s">
        <v>2824</v>
      </c>
      <c r="AC495" s="146" t="s">
        <v>2825</v>
      </c>
      <c r="AD495" s="2" t="s">
        <v>2826</v>
      </c>
      <c r="AE495" s="184" t="str">
        <f>OBRA!Y493</f>
        <v>ING. J. GUADALUPE IBARRA RAMIREZ</v>
      </c>
      <c r="AF495" s="19">
        <v>878.94</v>
      </c>
      <c r="AG495" s="2" t="s">
        <v>1548</v>
      </c>
      <c r="AH495" s="607">
        <f t="shared" si="31"/>
        <v>1093.9875531890686</v>
      </c>
      <c r="AI495" s="2">
        <v>250</v>
      </c>
      <c r="AJ495" s="514">
        <v>1000</v>
      </c>
      <c r="AK495" s="514"/>
      <c r="AL495" s="1551">
        <v>20.289107000000001</v>
      </c>
      <c r="AM495" s="1552">
        <v>103.425094</v>
      </c>
      <c r="AN495" s="1247" t="s">
        <v>3527</v>
      </c>
      <c r="AO495" s="1264" t="s">
        <v>3527</v>
      </c>
      <c r="AP495" s="1264" t="s">
        <v>3527</v>
      </c>
      <c r="AQ495" s="1248" t="s">
        <v>3527</v>
      </c>
      <c r="AR495" s="1248"/>
      <c r="AS495" s="1263" t="s">
        <v>3527</v>
      </c>
      <c r="AT495" s="1869">
        <v>127087.46</v>
      </c>
      <c r="AU495" s="1869"/>
      <c r="AV495" s="1869">
        <v>215868.88</v>
      </c>
      <c r="AW495" s="1869">
        <v>0</v>
      </c>
      <c r="AX495" s="1869">
        <v>622785.06000000006</v>
      </c>
      <c r="AY495" s="1869">
        <v>0</v>
      </c>
      <c r="AZ495" s="1869">
        <v>0</v>
      </c>
      <c r="BA495" s="1869">
        <v>0</v>
      </c>
      <c r="BB495" s="2">
        <v>116.68</v>
      </c>
      <c r="BC495" s="2"/>
      <c r="BD495" s="2">
        <v>122.23</v>
      </c>
      <c r="BE495" s="2">
        <v>0</v>
      </c>
      <c r="BF495" s="2">
        <v>878.94</v>
      </c>
      <c r="BG495" s="2">
        <v>0</v>
      </c>
      <c r="BH495" s="413">
        <v>0</v>
      </c>
      <c r="BI495" s="413"/>
      <c r="BJ495" s="12"/>
    </row>
    <row r="496" spans="1:62"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6249</v>
      </c>
      <c r="M496" s="452" t="s">
        <v>4003</v>
      </c>
      <c r="N496" s="452" t="s">
        <v>1975</v>
      </c>
      <c r="O496" s="532" t="s">
        <v>4131</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2835</v>
      </c>
      <c r="Z496" s="146" t="str">
        <f>OBRA!X494</f>
        <v>SONAYBER INGENIERIA Y CONSTRUCCIONES S.A. DE C.V.</v>
      </c>
      <c r="AA496" s="146" t="s">
        <v>5669</v>
      </c>
      <c r="AB496" s="148" t="s">
        <v>2824</v>
      </c>
      <c r="AC496" s="146" t="s">
        <v>2825</v>
      </c>
      <c r="AD496" s="148" t="s">
        <v>2826</v>
      </c>
      <c r="AE496" s="184" t="str">
        <f>OBRA!Y494</f>
        <v>ING. J. GUADALUPE IBARRA RAMIREZ</v>
      </c>
      <c r="AF496" s="19">
        <v>227.5</v>
      </c>
      <c r="AG496" s="2" t="s">
        <v>1548</v>
      </c>
      <c r="AH496" s="607">
        <f t="shared" si="31"/>
        <v>1497.6356043956043</v>
      </c>
      <c r="AI496" s="2">
        <v>100</v>
      </c>
      <c r="AJ496" s="514">
        <v>100</v>
      </c>
      <c r="AK496" s="514"/>
      <c r="AL496" s="1551">
        <v>20.289232999999999</v>
      </c>
      <c r="AM496" s="1552">
        <v>103.42476000000001</v>
      </c>
      <c r="AN496" s="1264" t="s">
        <v>3528</v>
      </c>
      <c r="AO496" s="1264" t="s">
        <v>3528</v>
      </c>
      <c r="AP496" s="1264" t="s">
        <v>3528</v>
      </c>
      <c r="AQ496" s="1248" t="s">
        <v>3528</v>
      </c>
      <c r="AR496" s="1248"/>
      <c r="AS496" s="1263" t="s">
        <v>3528</v>
      </c>
      <c r="AT496" s="1869">
        <v>61126.09</v>
      </c>
      <c r="AU496" s="1869"/>
      <c r="AV496" s="1869">
        <v>118905.01</v>
      </c>
      <c r="AW496" s="1869">
        <v>0</v>
      </c>
      <c r="AX496" s="1869">
        <v>154127.76</v>
      </c>
      <c r="AY496" s="1869">
        <v>0</v>
      </c>
      <c r="AZ496" s="1869">
        <v>0</v>
      </c>
      <c r="BA496" s="1869">
        <v>0</v>
      </c>
      <c r="BB496" s="2">
        <v>69.3</v>
      </c>
      <c r="BC496" s="2"/>
      <c r="BD496" s="2">
        <v>97.3</v>
      </c>
      <c r="BE496" s="2">
        <v>0</v>
      </c>
      <c r="BF496" s="2">
        <v>227.5</v>
      </c>
      <c r="BG496" s="2">
        <v>0</v>
      </c>
      <c r="BH496" s="413">
        <v>0</v>
      </c>
      <c r="BI496" s="413"/>
      <c r="BJ496" s="12"/>
    </row>
    <row r="497" spans="1:63"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4755</v>
      </c>
      <c r="M497" s="452" t="s">
        <v>4004</v>
      </c>
      <c r="N497" s="173" t="s">
        <v>2541</v>
      </c>
      <c r="O497" s="505" t="s">
        <v>4131</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2884</v>
      </c>
      <c r="Z497" s="146" t="str">
        <f>OBRA!X495</f>
        <v>CONSTRUCCIÓN Y SUPERVISIÓN COMA S.A. DE C.V.</v>
      </c>
      <c r="AA497" s="146" t="s">
        <v>5669</v>
      </c>
      <c r="AB497" s="148" t="s">
        <v>2904</v>
      </c>
      <c r="AC497" s="146" t="s">
        <v>2893</v>
      </c>
      <c r="AD497" s="148" t="s">
        <v>2894</v>
      </c>
      <c r="AE497" s="184" t="str">
        <f>OBRA!Y495</f>
        <v>LIC. SALVADOR CONTRERAS OLGUÍN</v>
      </c>
      <c r="AF497" s="19">
        <v>851.72</v>
      </c>
      <c r="AG497" s="2" t="s">
        <v>1548</v>
      </c>
      <c r="AH497" s="607">
        <f t="shared" si="31"/>
        <v>781.85436528436571</v>
      </c>
      <c r="AI497" s="2">
        <v>120</v>
      </c>
      <c r="AJ497" s="514">
        <v>120</v>
      </c>
      <c r="AK497" s="514"/>
      <c r="AL497" s="1551">
        <v>20.288114</v>
      </c>
      <c r="AM497" s="1552">
        <v>103.397525</v>
      </c>
      <c r="AN497" s="1247" t="s">
        <v>3659</v>
      </c>
      <c r="AO497" s="1247" t="s">
        <v>3659</v>
      </c>
      <c r="AP497" s="1247" t="s">
        <v>3659</v>
      </c>
      <c r="AQ497" s="1248" t="s">
        <v>3659</v>
      </c>
      <c r="AR497" s="1248"/>
      <c r="AS497" s="1263" t="s">
        <v>3659</v>
      </c>
      <c r="AT497" s="1849"/>
      <c r="AU497" s="1849"/>
      <c r="AV497" s="1849"/>
      <c r="AW497" s="1849"/>
      <c r="AX497" s="1849"/>
      <c r="AY497" s="1849"/>
      <c r="AZ497" s="1849"/>
      <c r="BA497" s="1849"/>
      <c r="BB497" s="1718"/>
      <c r="BC497" s="1718"/>
      <c r="BD497" s="1718"/>
      <c r="BE497" s="1718"/>
      <c r="BF497" s="1718"/>
      <c r="BG497" s="1718"/>
      <c r="BH497" s="1718"/>
      <c r="BI497" s="413"/>
      <c r="BJ497" s="12"/>
    </row>
    <row r="498" spans="1:63"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4755</v>
      </c>
      <c r="M498" s="452" t="s">
        <v>1618</v>
      </c>
      <c r="N498" s="452" t="s">
        <v>1975</v>
      </c>
      <c r="O498" s="532" t="s">
        <v>4131</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2971</v>
      </c>
      <c r="Z498" s="146" t="str">
        <f>OBRA!X496</f>
        <v>GRUPO ARANGE, S.A. DE C.V.</v>
      </c>
      <c r="AA498" s="146" t="s">
        <v>5669</v>
      </c>
      <c r="AB498" s="148" t="s">
        <v>2905</v>
      </c>
      <c r="AC498" s="146" t="s">
        <v>2886</v>
      </c>
      <c r="AD498" s="148" t="s">
        <v>2888</v>
      </c>
      <c r="AE498" s="184" t="str">
        <f>OBRA!Y496</f>
        <v>ING. LUIS RIGOBERTO OLMEDO NAVARRO</v>
      </c>
      <c r="AF498" s="19">
        <v>488.63</v>
      </c>
      <c r="AG498" s="2" t="s">
        <v>1548</v>
      </c>
      <c r="AH498" s="607">
        <f t="shared" si="31"/>
        <v>647.70370218774951</v>
      </c>
      <c r="AI498" s="2">
        <v>50</v>
      </c>
      <c r="AJ498" s="514">
        <v>1000</v>
      </c>
      <c r="AK498" s="514"/>
      <c r="AL498" s="1551">
        <v>20.290447</v>
      </c>
      <c r="AM498" s="1552">
        <v>103.428602</v>
      </c>
      <c r="AN498" s="1264" t="s">
        <v>3521</v>
      </c>
      <c r="AO498" s="1264" t="s">
        <v>3521</v>
      </c>
      <c r="AP498" s="1264" t="s">
        <v>3521</v>
      </c>
      <c r="AQ498" s="1262" t="s">
        <v>3521</v>
      </c>
      <c r="AR498" s="1262"/>
      <c r="AS498" s="1263" t="s">
        <v>3521</v>
      </c>
      <c r="AT498" s="1849"/>
      <c r="AU498" s="1849"/>
      <c r="AV498" s="1849"/>
      <c r="AW498" s="1849"/>
      <c r="AX498" s="1849"/>
      <c r="AY498" s="1849"/>
      <c r="AZ498" s="1849"/>
      <c r="BA498" s="1849"/>
      <c r="BB498" s="1718"/>
      <c r="BC498" s="1718"/>
      <c r="BD498" s="1718"/>
      <c r="BE498" s="1718"/>
      <c r="BF498" s="1718"/>
      <c r="BG498" s="1718"/>
      <c r="BH498" s="1718"/>
      <c r="BI498" s="413"/>
      <c r="BJ498" s="12"/>
    </row>
    <row r="499" spans="1:63"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4755</v>
      </c>
      <c r="M499" s="674" t="s">
        <v>4005</v>
      </c>
      <c r="N499" s="3" t="s">
        <v>2541</v>
      </c>
      <c r="O499" s="505" t="s">
        <v>4131</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2836</v>
      </c>
      <c r="Z499" s="146" t="str">
        <f>OBRA!X497</f>
        <v>ING. OCTAVIO AUGUSTO GONZALEZ TREJO</v>
      </c>
      <c r="AA499" s="146" t="s">
        <v>5668</v>
      </c>
      <c r="AB499" s="148" t="str">
        <f>Z499</f>
        <v>ING. OCTAVIO AUGUSTO GONZALEZ TREJO</v>
      </c>
      <c r="AC499" s="148" t="s">
        <v>2962</v>
      </c>
      <c r="AD499" s="146" t="s">
        <v>2962</v>
      </c>
      <c r="AE499" s="184" t="str">
        <f>OBRA!Y497</f>
        <v>LIC. SALVADOR CONTRERAS OLGUÍN</v>
      </c>
      <c r="AF499" s="19">
        <v>322.39999999999998</v>
      </c>
      <c r="AG499" s="2" t="s">
        <v>1548</v>
      </c>
      <c r="AH499" s="607">
        <f t="shared" si="31"/>
        <v>724.56982009925559</v>
      </c>
      <c r="AI499" s="2">
        <v>100</v>
      </c>
      <c r="AJ499" s="514">
        <v>2000</v>
      </c>
      <c r="AK499" s="514"/>
      <c r="AL499" s="1551">
        <v>20.291830000000001</v>
      </c>
      <c r="AM499" s="1552">
        <v>103.386571</v>
      </c>
      <c r="AN499" s="1247" t="s">
        <v>3515</v>
      </c>
      <c r="AO499" s="1247" t="s">
        <v>3515</v>
      </c>
      <c r="AP499" s="1301" t="s">
        <v>3590</v>
      </c>
      <c r="AQ499" s="1248" t="s">
        <v>3515</v>
      </c>
      <c r="AR499" s="1248"/>
      <c r="AS499" s="1263" t="s">
        <v>3590</v>
      </c>
      <c r="AT499" s="1849"/>
      <c r="AU499" s="1849"/>
      <c r="AV499" s="1849"/>
      <c r="AW499" s="1849"/>
      <c r="AX499" s="1849"/>
      <c r="AY499" s="1849"/>
      <c r="AZ499" s="1849"/>
      <c r="BA499" s="1849"/>
      <c r="BB499" s="1718"/>
      <c r="BC499" s="1718"/>
      <c r="BD499" s="1718"/>
      <c r="BE499" s="1718"/>
      <c r="BF499" s="1718"/>
      <c r="BG499" s="1718"/>
      <c r="BH499" s="1718"/>
      <c r="BI499" s="413"/>
      <c r="BJ499" s="12"/>
    </row>
    <row r="500" spans="1:63"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4755</v>
      </c>
      <c r="M500" s="674" t="s">
        <v>4005</v>
      </c>
      <c r="N500" s="3" t="s">
        <v>2541</v>
      </c>
      <c r="O500" s="505" t="s">
        <v>4152</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2837</v>
      </c>
      <c r="Z500" s="146" t="str">
        <f>OBRA!X498</f>
        <v>ING. OCTAVIO AUGUSTO GONZALEZ TREJO</v>
      </c>
      <c r="AA500" s="146" t="s">
        <v>5668</v>
      </c>
      <c r="AB500" s="148" t="str">
        <f>Z500</f>
        <v>ING. OCTAVIO AUGUSTO GONZALEZ TREJO</v>
      </c>
      <c r="AC500" s="2" t="s">
        <v>2962</v>
      </c>
      <c r="AD500" s="146" t="s">
        <v>2962</v>
      </c>
      <c r="AE500" s="184" t="str">
        <f>OBRA!Y498</f>
        <v>LIC. SALVADOR CONTRERAS OLGUÍN</v>
      </c>
      <c r="AF500" s="19">
        <v>558</v>
      </c>
      <c r="AG500" s="2" t="s">
        <v>1548</v>
      </c>
      <c r="AH500" s="607">
        <f t="shared" si="31"/>
        <v>718.96249103942648</v>
      </c>
      <c r="AI500" s="2">
        <v>100</v>
      </c>
      <c r="AJ500" s="514">
        <v>2000</v>
      </c>
      <c r="AK500" s="514"/>
      <c r="AL500" s="1551">
        <v>20.291982000000001</v>
      </c>
      <c r="AM500" s="1552">
        <v>103.385777</v>
      </c>
      <c r="AN500" s="1247" t="s">
        <v>3516</v>
      </c>
      <c r="AO500" s="1247" t="s">
        <v>3516</v>
      </c>
      <c r="AP500" s="1310" t="s">
        <v>3516</v>
      </c>
      <c r="AQ500" s="1248" t="s">
        <v>3516</v>
      </c>
      <c r="AR500" s="1248"/>
      <c r="AS500" s="1263" t="s">
        <v>3516</v>
      </c>
      <c r="AT500" s="1849"/>
      <c r="AU500" s="1849"/>
      <c r="AV500" s="1849"/>
      <c r="AW500" s="1849"/>
      <c r="AX500" s="1849"/>
      <c r="AY500" s="1849"/>
      <c r="AZ500" s="1849"/>
      <c r="BA500" s="1849"/>
      <c r="BB500" s="1718"/>
      <c r="BC500" s="1718"/>
      <c r="BD500" s="1718"/>
      <c r="BE500" s="1718"/>
      <c r="BF500" s="1718"/>
      <c r="BG500" s="1718"/>
      <c r="BH500" s="1718"/>
      <c r="BI500" s="413"/>
      <c r="BJ500" s="12"/>
    </row>
    <row r="501" spans="1:63"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6249</v>
      </c>
      <c r="M501" s="452" t="s">
        <v>4006</v>
      </c>
      <c r="N501" s="452" t="s">
        <v>1975</v>
      </c>
      <c r="O501" s="505" t="s">
        <v>4152</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2889</v>
      </c>
      <c r="Z501" s="146" t="str">
        <f>OBRA!X499</f>
        <v xml:space="preserve">INFRAESTRUCTURA Y EDIFICACIONES OROZCO S.A. DE C.V. </v>
      </c>
      <c r="AA501" s="146" t="s">
        <v>5669</v>
      </c>
      <c r="AB501" s="148" t="s">
        <v>2903</v>
      </c>
      <c r="AC501" s="2" t="s">
        <v>2890</v>
      </c>
      <c r="AD501" s="146" t="s">
        <v>2891</v>
      </c>
      <c r="AE501" s="184" t="str">
        <f>OBRA!Y499</f>
        <v>ING. J. GUADALUPE IBARRA RAMIREZ</v>
      </c>
      <c r="AF501" s="19">
        <v>1240</v>
      </c>
      <c r="AG501" s="2" t="s">
        <v>1548</v>
      </c>
      <c r="AH501" s="607">
        <f t="shared" si="31"/>
        <v>1033.3670403225806</v>
      </c>
      <c r="AI501" s="2">
        <v>130</v>
      </c>
      <c r="AJ501" s="514">
        <v>1000</v>
      </c>
      <c r="AK501" s="514"/>
      <c r="AL501" s="1551">
        <v>20.289629999999999</v>
      </c>
      <c r="AM501" s="1552">
        <v>103.425144</v>
      </c>
      <c r="AN501" s="1247" t="s">
        <v>3529</v>
      </c>
      <c r="AO501" s="1264" t="s">
        <v>3529</v>
      </c>
      <c r="AP501" s="1264" t="s">
        <v>3529</v>
      </c>
      <c r="AQ501" s="1248" t="s">
        <v>3529</v>
      </c>
      <c r="AR501" s="1248"/>
      <c r="AS501" s="1455" t="s">
        <v>3529</v>
      </c>
      <c r="AT501" s="1869">
        <v>116368.22</v>
      </c>
      <c r="AU501" s="1869"/>
      <c r="AV501" s="1869">
        <v>313412.77</v>
      </c>
      <c r="AW501" s="1869">
        <v>0</v>
      </c>
      <c r="AX501" s="1869">
        <v>876764.64</v>
      </c>
      <c r="AY501" s="1869">
        <v>0</v>
      </c>
      <c r="AZ501" s="1869">
        <v>0</v>
      </c>
      <c r="BA501" s="1869">
        <v>0</v>
      </c>
      <c r="BB501" s="2">
        <v>153.9</v>
      </c>
      <c r="BC501" s="2"/>
      <c r="BD501" s="2">
        <v>158.5</v>
      </c>
      <c r="BE501" s="2">
        <v>0</v>
      </c>
      <c r="BF501" s="2">
        <v>1240</v>
      </c>
      <c r="BG501" s="2">
        <v>0</v>
      </c>
      <c r="BH501" s="413">
        <v>0</v>
      </c>
      <c r="BI501" s="413"/>
      <c r="BJ501" s="12"/>
    </row>
    <row r="502" spans="1:63"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6249</v>
      </c>
      <c r="M502" s="674" t="s">
        <v>1493</v>
      </c>
      <c r="N502" s="674" t="s">
        <v>1975</v>
      </c>
      <c r="O502" s="505" t="s">
        <v>4152</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2892</v>
      </c>
      <c r="Z502" s="146" t="str">
        <f>OBRA!X500</f>
        <v>GRUPO CONSTRUCTOR EDVI SA DE CV</v>
      </c>
      <c r="AA502" s="146" t="s">
        <v>5669</v>
      </c>
      <c r="AB502" s="148" t="s">
        <v>2805</v>
      </c>
      <c r="AC502" s="146" t="s">
        <v>2749</v>
      </c>
      <c r="AD502" s="148" t="s">
        <v>2751</v>
      </c>
      <c r="AE502" s="184" t="str">
        <f>OBRA!Y500</f>
        <v>ING. LUIS RIGOBERTO OLMEDO NAVARRO</v>
      </c>
      <c r="AF502" s="19">
        <v>235.2</v>
      </c>
      <c r="AG502" s="2" t="s">
        <v>1548</v>
      </c>
      <c r="AH502" s="607">
        <f t="shared" si="31"/>
        <v>1360.5633928571431</v>
      </c>
      <c r="AI502" s="2">
        <v>60</v>
      </c>
      <c r="AJ502" s="514">
        <v>60</v>
      </c>
      <c r="AK502" s="514"/>
      <c r="AL502" s="1551">
        <v>20.291166</v>
      </c>
      <c r="AM502" s="1552">
        <v>103.43314599999999</v>
      </c>
      <c r="AN502" s="1247" t="s">
        <v>3530</v>
      </c>
      <c r="AO502" s="984"/>
      <c r="AP502" s="1264" t="s">
        <v>3530</v>
      </c>
      <c r="AQ502" s="1262" t="s">
        <v>3530</v>
      </c>
      <c r="AR502" s="1262"/>
      <c r="AS502" s="1301" t="s">
        <v>3530</v>
      </c>
      <c r="AT502" s="1869">
        <v>44677.760000000002</v>
      </c>
      <c r="AU502" s="1869"/>
      <c r="AV502" s="1869">
        <v>86749.83</v>
      </c>
      <c r="AW502" s="1869">
        <v>0</v>
      </c>
      <c r="AX502" s="1869">
        <v>150398.91</v>
      </c>
      <c r="AY502" s="1869">
        <v>0</v>
      </c>
      <c r="AZ502" s="1869">
        <v>0</v>
      </c>
      <c r="BA502" s="1869">
        <v>0</v>
      </c>
      <c r="BB502" s="2">
        <v>42</v>
      </c>
      <c r="BC502" s="2"/>
      <c r="BD502" s="2">
        <v>42</v>
      </c>
      <c r="BE502" s="2">
        <v>0</v>
      </c>
      <c r="BF502" s="2">
        <v>235.2</v>
      </c>
      <c r="BG502" s="2">
        <v>0</v>
      </c>
      <c r="BH502" s="413">
        <v>0</v>
      </c>
      <c r="BI502" s="413"/>
      <c r="BJ502" s="12"/>
    </row>
    <row r="503" spans="1:63"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6250</v>
      </c>
      <c r="M503" s="674" t="s">
        <v>4007</v>
      </c>
      <c r="N503" s="674" t="s">
        <v>1975</v>
      </c>
      <c r="O503" s="505" t="s">
        <v>4152</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2887</v>
      </c>
      <c r="Z503" s="146" t="str">
        <f>OBRA!X501</f>
        <v>GRUPO ARANGE, S.A. DE C.V.</v>
      </c>
      <c r="AA503" s="146" t="s">
        <v>5669</v>
      </c>
      <c r="AB503" s="148" t="s">
        <v>2905</v>
      </c>
      <c r="AC503" s="146" t="s">
        <v>2886</v>
      </c>
      <c r="AD503" s="148" t="s">
        <v>2888</v>
      </c>
      <c r="AE503" s="184" t="str">
        <f>OBRA!Y501</f>
        <v>LIC. SALVADOR CONTRERAS OLGUÍN</v>
      </c>
      <c r="AF503" s="19">
        <f>73.55+68.68</f>
        <v>142.23000000000002</v>
      </c>
      <c r="AG503" s="2" t="s">
        <v>1450</v>
      </c>
      <c r="AH503" s="607">
        <f t="shared" si="31"/>
        <v>1621.090487238979</v>
      </c>
      <c r="AI503" s="2">
        <v>50</v>
      </c>
      <c r="AJ503" s="514">
        <v>300</v>
      </c>
      <c r="AK503" s="514"/>
      <c r="AL503" s="1551">
        <v>20.290732999999999</v>
      </c>
      <c r="AM503" s="1552">
        <v>103.42832799999999</v>
      </c>
      <c r="AN503" s="1247" t="s">
        <v>3523</v>
      </c>
      <c r="AO503" s="1247" t="s">
        <v>3523</v>
      </c>
      <c r="AP503" s="1247" t="s">
        <v>3523</v>
      </c>
      <c r="AQ503" s="1248" t="s">
        <v>3523</v>
      </c>
      <c r="AR503" s="1248"/>
      <c r="AS503" s="1263" t="s">
        <v>3523</v>
      </c>
      <c r="AT503" s="1869">
        <v>92251.64</v>
      </c>
      <c r="AU503" s="1869"/>
      <c r="AV503" s="1869">
        <v>91756.56</v>
      </c>
      <c r="AW503" s="1869">
        <v>0</v>
      </c>
      <c r="AX503" s="1869">
        <v>0</v>
      </c>
      <c r="AY503" s="1869">
        <v>0</v>
      </c>
      <c r="AZ503" s="1869">
        <v>0</v>
      </c>
      <c r="BA503" s="1869">
        <v>0</v>
      </c>
      <c r="BB503" s="2">
        <v>68.680000000000007</v>
      </c>
      <c r="BC503" s="2"/>
      <c r="BD503" s="2">
        <v>73</v>
      </c>
      <c r="BE503" s="2">
        <v>0</v>
      </c>
      <c r="BF503" s="2">
        <v>0</v>
      </c>
      <c r="BG503" s="2">
        <v>0</v>
      </c>
      <c r="BH503" s="413">
        <v>0</v>
      </c>
      <c r="BI503" s="413"/>
      <c r="BJ503" s="12"/>
    </row>
    <row r="504" spans="1:63"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6250</v>
      </c>
      <c r="M504" s="674" t="s">
        <v>4008</v>
      </c>
      <c r="N504" s="674" t="s">
        <v>1975</v>
      </c>
      <c r="O504" s="505" t="s">
        <v>4152</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2930</v>
      </c>
      <c r="Z504" s="146" t="str">
        <f>OBRA!X502</f>
        <v>GRUPO CONSTRUCOR PAVIMAQ, S.A. DE C.V.</v>
      </c>
      <c r="AA504" s="146" t="s">
        <v>5669</v>
      </c>
      <c r="AB504" s="148" t="s">
        <v>2804</v>
      </c>
      <c r="AC504" s="148" t="s">
        <v>2803</v>
      </c>
      <c r="AD504" s="146" t="s">
        <v>2931</v>
      </c>
      <c r="AE504" s="184" t="str">
        <f>OBRA!Y502</f>
        <v>ARQ. CESAR ANTONIO ALONSO JIMENEZ</v>
      </c>
      <c r="AF504" s="19">
        <f>73.5+68.68</f>
        <v>142.18</v>
      </c>
      <c r="AG504" s="2" t="s">
        <v>1450</v>
      </c>
      <c r="AH504" s="607">
        <f t="shared" si="31"/>
        <v>1770.3233225488816</v>
      </c>
      <c r="AI504" s="2">
        <v>50</v>
      </c>
      <c r="AJ504" s="514">
        <v>50</v>
      </c>
      <c r="AK504" s="514"/>
      <c r="AL504" s="1551">
        <v>20.291397</v>
      </c>
      <c r="AM504" s="1552">
        <v>103.428212</v>
      </c>
      <c r="AN504" s="1247" t="s">
        <v>3524</v>
      </c>
      <c r="AO504" s="1247" t="s">
        <v>3524</v>
      </c>
      <c r="AP504" s="1247" t="s">
        <v>3524</v>
      </c>
      <c r="AQ504" s="1311" t="s">
        <v>3524</v>
      </c>
      <c r="AR504" s="1311"/>
      <c r="AS504" s="1457" t="s">
        <v>3524</v>
      </c>
      <c r="AT504" s="1869">
        <v>103853.15</v>
      </c>
      <c r="AU504" s="1869"/>
      <c r="AV504" s="1869">
        <v>128543.58</v>
      </c>
      <c r="AW504" s="1869">
        <v>0</v>
      </c>
      <c r="AX504" s="1869">
        <v>0</v>
      </c>
      <c r="AY504" s="1869">
        <v>0</v>
      </c>
      <c r="AZ504" s="1869">
        <v>0</v>
      </c>
      <c r="BA504" s="1869">
        <v>0</v>
      </c>
      <c r="BB504" s="2">
        <v>83.9</v>
      </c>
      <c r="BC504" s="2"/>
      <c r="BD504" s="2">
        <v>83.9</v>
      </c>
      <c r="BE504" s="2">
        <v>0</v>
      </c>
      <c r="BF504" s="2">
        <v>0</v>
      </c>
      <c r="BG504" s="2">
        <v>0</v>
      </c>
      <c r="BH504" s="413">
        <v>0</v>
      </c>
      <c r="BI504" s="413"/>
      <c r="BJ504" s="12"/>
    </row>
    <row r="505" spans="1:63"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4755</v>
      </c>
      <c r="M505" s="674" t="s">
        <v>4010</v>
      </c>
      <c r="N505" s="674" t="s">
        <v>2666</v>
      </c>
      <c r="O505" s="505" t="s">
        <v>4152</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2933</v>
      </c>
      <c r="Z505" s="146" t="str">
        <f>OBRA!X503</f>
        <v>SERVICIO Y CONSTRUCCIÓN NATENIO S.A. DE C.V.</v>
      </c>
      <c r="AA505" s="146" t="s">
        <v>5669</v>
      </c>
      <c r="AB505" s="148" t="s">
        <v>2808</v>
      </c>
      <c r="AC505" s="2" t="s">
        <v>2809</v>
      </c>
      <c r="AD505" s="413" t="s">
        <v>2972</v>
      </c>
      <c r="AE505" s="184" t="str">
        <f>OBRA!Y503</f>
        <v>ING. J. GUADALUPE IBARRA RAMIREZ</v>
      </c>
      <c r="AF505" s="19">
        <v>660</v>
      </c>
      <c r="AG505" s="2" t="s">
        <v>1548</v>
      </c>
      <c r="AH505" s="607">
        <f t="shared" si="31"/>
        <v>456.74262121212121</v>
      </c>
      <c r="AI505" s="2">
        <v>250</v>
      </c>
      <c r="AJ505" s="514">
        <v>1000</v>
      </c>
      <c r="AK505" s="514"/>
      <c r="AL505" s="1551">
        <v>20.388652</v>
      </c>
      <c r="AM505" s="1552">
        <v>103.531414</v>
      </c>
      <c r="AN505" s="1247" t="s">
        <v>3599</v>
      </c>
      <c r="AO505" s="1247" t="s">
        <v>3599</v>
      </c>
      <c r="AP505" s="1247" t="s">
        <v>3599</v>
      </c>
      <c r="AQ505" s="1301" t="s">
        <v>3599</v>
      </c>
      <c r="AR505" s="1301"/>
      <c r="AS505" s="1301" t="s">
        <v>3599</v>
      </c>
      <c r="AT505" s="1849"/>
      <c r="AU505" s="1849"/>
      <c r="AV505" s="1849"/>
      <c r="AW505" s="1849"/>
      <c r="AX505" s="1849"/>
      <c r="AY505" s="1849"/>
      <c r="AZ505" s="1849"/>
      <c r="BA505" s="1849"/>
      <c r="BB505" s="1718"/>
      <c r="BC505" s="1718"/>
      <c r="BD505" s="1718"/>
      <c r="BE505" s="1718"/>
      <c r="BF505" s="1718"/>
      <c r="BG505" s="1718"/>
      <c r="BH505" s="1718"/>
      <c r="BI505" s="413"/>
      <c r="BJ505" s="12"/>
      <c r="BK505" t="s">
        <v>3598</v>
      </c>
    </row>
    <row r="506" spans="1:63"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4755</v>
      </c>
      <c r="M506" s="674" t="s">
        <v>4009</v>
      </c>
      <c r="N506" s="674" t="s">
        <v>2666</v>
      </c>
      <c r="O506" s="505" t="s">
        <v>4152</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2933</v>
      </c>
      <c r="Z506" s="146" t="str">
        <f>OBRA!X504</f>
        <v>SERVICIO Y CONSTRUCCIÓN NATENIO S.A. DE C.V.</v>
      </c>
      <c r="AA506" s="146" t="s">
        <v>5669</v>
      </c>
      <c r="AB506" s="148" t="s">
        <v>2808</v>
      </c>
      <c r="AC506" s="148" t="s">
        <v>2809</v>
      </c>
      <c r="AD506" s="146" t="s">
        <v>2972</v>
      </c>
      <c r="AE506" s="184" t="str">
        <f>OBRA!Y504</f>
        <v>ING. J. GUADALUPE IBARRA RAMIREZ</v>
      </c>
      <c r="AF506" s="19">
        <v>927.6</v>
      </c>
      <c r="AG506" s="2" t="s">
        <v>1548</v>
      </c>
      <c r="AH506" s="607">
        <f t="shared" si="31"/>
        <v>456.25238249245365</v>
      </c>
      <c r="AI506" s="2">
        <v>250</v>
      </c>
      <c r="AJ506" s="514">
        <v>500</v>
      </c>
      <c r="AK506" s="514"/>
      <c r="AL506" s="1551">
        <v>20.388701000000001</v>
      </c>
      <c r="AM506" s="1552">
        <v>103.530861</v>
      </c>
      <c r="AN506" s="1247" t="s">
        <v>3600</v>
      </c>
      <c r="AO506" s="1247" t="s">
        <v>3600</v>
      </c>
      <c r="AP506" s="1247" t="s">
        <v>3600</v>
      </c>
      <c r="AQ506" s="1248" t="s">
        <v>3600</v>
      </c>
      <c r="AR506" s="1248"/>
      <c r="AS506" s="1263" t="s">
        <v>3600</v>
      </c>
      <c r="AT506" s="1849"/>
      <c r="AU506" s="1849"/>
      <c r="AV506" s="1849"/>
      <c r="AW506" s="1849"/>
      <c r="AX506" s="1849"/>
      <c r="AY506" s="1849"/>
      <c r="AZ506" s="1849"/>
      <c r="BA506" s="1849"/>
      <c r="BB506" s="1718"/>
      <c r="BC506" s="1718"/>
      <c r="BD506" s="1718"/>
      <c r="BE506" s="1718"/>
      <c r="BF506" s="1718"/>
      <c r="BG506" s="1718"/>
      <c r="BH506" s="1718"/>
      <c r="BI506" s="413"/>
      <c r="BJ506" s="12"/>
    </row>
    <row r="507" spans="1:63"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4151</v>
      </c>
      <c r="L507" s="3" t="s">
        <v>4754</v>
      </c>
      <c r="M507" s="674" t="s">
        <v>4023</v>
      </c>
      <c r="N507" s="674" t="s">
        <v>2541</v>
      </c>
      <c r="O507" s="505" t="s">
        <v>4152</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2936</v>
      </c>
      <c r="Z507" s="146" t="str">
        <f>OBRA!X505</f>
        <v>JESSICA MONSERRAT RIVERA TORRES</v>
      </c>
      <c r="AA507" s="146" t="s">
        <v>5668</v>
      </c>
      <c r="AB507" s="148" t="s">
        <v>2935</v>
      </c>
      <c r="AC507" s="148" t="s">
        <v>2962</v>
      </c>
      <c r="AD507" s="146" t="s">
        <v>2962</v>
      </c>
      <c r="AE507" s="184" t="str">
        <f>OBRA!Y505</f>
        <v>ING. RIGOBERTO OLMEDO RAMOS</v>
      </c>
      <c r="AF507" s="19">
        <v>1</v>
      </c>
      <c r="AG507" s="2" t="s">
        <v>1462</v>
      </c>
      <c r="AH507" s="184">
        <f t="shared" si="31"/>
        <v>174784.71</v>
      </c>
      <c r="AI507" s="2">
        <v>1800</v>
      </c>
      <c r="AJ507" s="514">
        <v>1800</v>
      </c>
      <c r="AK507" s="514"/>
      <c r="AL507" s="1551">
        <v>20.290621999999999</v>
      </c>
      <c r="AM507" s="1552">
        <v>103.41037799999999</v>
      </c>
      <c r="AN507" s="1247" t="s">
        <v>3601</v>
      </c>
      <c r="AO507" s="565"/>
      <c r="AP507" s="1247" t="s">
        <v>4153</v>
      </c>
      <c r="AQ507" s="1248" t="s">
        <v>3601</v>
      </c>
      <c r="AR507" s="1248"/>
      <c r="AS507" s="1263" t="s">
        <v>3601</v>
      </c>
      <c r="AT507" s="1849"/>
      <c r="AU507" s="1849"/>
      <c r="AV507" s="1849"/>
      <c r="AW507" s="1849"/>
      <c r="AX507" s="1849"/>
      <c r="AY507" s="1849"/>
      <c r="AZ507" s="1849"/>
      <c r="BA507" s="1849"/>
      <c r="BB507" s="1718"/>
      <c r="BC507" s="1718"/>
      <c r="BD507" s="1718"/>
      <c r="BE507" s="1718"/>
      <c r="BF507" s="1718"/>
      <c r="BG507" s="1718"/>
      <c r="BH507" s="1718"/>
      <c r="BI507" s="413"/>
      <c r="BJ507" s="12"/>
    </row>
    <row r="508" spans="1:63"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4754</v>
      </c>
      <c r="M508" s="674" t="s">
        <v>2491</v>
      </c>
      <c r="N508" s="674" t="s">
        <v>2580</v>
      </c>
      <c r="O508" s="505" t="s">
        <v>4152</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2938</v>
      </c>
      <c r="Z508" s="146" t="str">
        <f>OBRA!X506</f>
        <v>JESSICA MONSERRAT RIVERA TORRES</v>
      </c>
      <c r="AA508" s="146" t="s">
        <v>5668</v>
      </c>
      <c r="AB508" s="148" t="s">
        <v>2935</v>
      </c>
      <c r="AC508" s="2" t="s">
        <v>2962</v>
      </c>
      <c r="AD508" s="146" t="s">
        <v>2962</v>
      </c>
      <c r="AE508" s="184" t="str">
        <f>OBRA!Y506</f>
        <v>ING. RIGOBERTO OLMEDO RAMOS</v>
      </c>
      <c r="AF508" s="19">
        <v>250</v>
      </c>
      <c r="AG508" s="2" t="s">
        <v>1450</v>
      </c>
      <c r="AH508" s="184">
        <f t="shared" si="31"/>
        <v>0</v>
      </c>
      <c r="AI508" s="2">
        <v>2000</v>
      </c>
      <c r="AJ508" s="514">
        <v>2000</v>
      </c>
      <c r="AK508" s="514"/>
      <c r="AL508" s="1551">
        <v>20.286681999999999</v>
      </c>
      <c r="AM508" s="1552">
        <v>103.423992</v>
      </c>
      <c r="AN508" s="1247" t="s">
        <v>3602</v>
      </c>
      <c r="AO508" s="1453" t="s">
        <v>1176</v>
      </c>
      <c r="AP508" s="1247" t="s">
        <v>3602</v>
      </c>
      <c r="AQ508" s="1287" t="s">
        <v>1176</v>
      </c>
      <c r="AR508" s="1287"/>
      <c r="AS508" s="1293" t="s">
        <v>1176</v>
      </c>
      <c r="AT508" s="1849"/>
      <c r="AU508" s="1849"/>
      <c r="AV508" s="1849"/>
      <c r="AW508" s="1849"/>
      <c r="AX508" s="1849"/>
      <c r="AY508" s="1849"/>
      <c r="AZ508" s="1849"/>
      <c r="BA508" s="1849"/>
      <c r="BB508" s="1718"/>
      <c r="BC508" s="1718"/>
      <c r="BD508" s="1718"/>
      <c r="BE508" s="1718"/>
      <c r="BF508" s="1718"/>
      <c r="BG508" s="1718"/>
      <c r="BH508" s="1718"/>
      <c r="BI508" s="413"/>
      <c r="BJ508" s="12"/>
    </row>
    <row r="509" spans="1:63"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1544"/>
      <c r="AM509" s="1545"/>
      <c r="AN509" s="821"/>
      <c r="AO509" s="817"/>
      <c r="AP509" s="821"/>
      <c r="AQ509" s="515"/>
      <c r="AR509" s="515"/>
      <c r="AS509" s="562"/>
      <c r="AT509" s="1827"/>
      <c r="AU509" s="1827"/>
      <c r="AV509" s="1827"/>
      <c r="AW509" s="1827"/>
      <c r="AX509" s="1827"/>
      <c r="AY509" s="1827"/>
      <c r="AZ509" s="1827"/>
      <c r="BA509" s="1827"/>
      <c r="BB509" s="1827"/>
      <c r="BC509" s="1827"/>
      <c r="BD509" s="1827"/>
      <c r="BE509" s="1827"/>
      <c r="BF509" s="1827"/>
      <c r="BG509" s="1827"/>
      <c r="BH509" s="1827"/>
      <c r="BI509" s="422"/>
      <c r="BJ509" s="103"/>
    </row>
    <row r="510" spans="1:63"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4755</v>
      </c>
      <c r="M510" s="674" t="s">
        <v>4011</v>
      </c>
      <c r="N510" s="674" t="s">
        <v>3626</v>
      </c>
      <c r="O510" s="467" t="s">
        <v>4025</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2941</v>
      </c>
      <c r="Z510" s="146" t="str">
        <f>OBRA!X508</f>
        <v xml:space="preserve">DESARROLLO DAP S.A. DE C.V. </v>
      </c>
      <c r="AA510" s="146" t="s">
        <v>5669</v>
      </c>
      <c r="AB510" s="148" t="s">
        <v>2942</v>
      </c>
      <c r="AC510" s="148" t="s">
        <v>2943</v>
      </c>
      <c r="AD510" s="146" t="s">
        <v>2944</v>
      </c>
      <c r="AE510" s="184" t="str">
        <f>OBRA!Y508</f>
        <v>ARQ. JAIME CONDE GOMEZ</v>
      </c>
      <c r="AF510" s="19">
        <v>1022.62</v>
      </c>
      <c r="AG510" s="2" t="s">
        <v>1548</v>
      </c>
      <c r="AH510" s="607">
        <f t="shared" si="31"/>
        <v>756.20896325125659</v>
      </c>
      <c r="AI510" s="2">
        <v>100</v>
      </c>
      <c r="AJ510" s="514">
        <v>500</v>
      </c>
      <c r="AK510" s="514"/>
      <c r="AL510" s="1551">
        <v>20.324287000000002</v>
      </c>
      <c r="AM510" s="1552">
        <v>103.480902</v>
      </c>
      <c r="AN510" s="1247" t="s">
        <v>3660</v>
      </c>
      <c r="AO510" s="1247" t="s">
        <v>3660</v>
      </c>
      <c r="AP510" s="1247" t="s">
        <v>3660</v>
      </c>
      <c r="AQ510" s="1248" t="s">
        <v>3660</v>
      </c>
      <c r="AR510" s="1248"/>
      <c r="AS510" s="1263" t="s">
        <v>3660</v>
      </c>
      <c r="AT510" s="1849"/>
      <c r="AU510" s="1849"/>
      <c r="AV510" s="1849"/>
      <c r="AW510" s="1849"/>
      <c r="AX510" s="1849"/>
      <c r="AY510" s="1849"/>
      <c r="AZ510" s="1849"/>
      <c r="BA510" s="1849"/>
      <c r="BB510" s="1718"/>
      <c r="BC510" s="1718"/>
      <c r="BD510" s="1718"/>
      <c r="BE510" s="1718"/>
      <c r="BF510" s="1718"/>
      <c r="BG510" s="1718"/>
      <c r="BH510" s="1718"/>
      <c r="BI510" s="413"/>
      <c r="BJ510" s="12"/>
    </row>
    <row r="511" spans="1:63"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4305</v>
      </c>
      <c r="L511" s="1348" t="s">
        <v>6249</v>
      </c>
      <c r="M511" s="674" t="s">
        <v>4012</v>
      </c>
      <c r="N511" s="674" t="s">
        <v>3626</v>
      </c>
      <c r="O511" s="467" t="s">
        <v>4025</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2977</v>
      </c>
      <c r="Z511" s="146" t="str">
        <f>OBRA!X509</f>
        <v xml:space="preserve">BAUEN INGENIERÍA Y MAQUINARIA S.A. DE C.V. </v>
      </c>
      <c r="AA511" s="146" t="s">
        <v>5669</v>
      </c>
      <c r="AB511" s="148" t="s">
        <v>3040</v>
      </c>
      <c r="AC511" s="148" t="s">
        <v>2980</v>
      </c>
      <c r="AD511" s="146" t="s">
        <v>2981</v>
      </c>
      <c r="AE511" s="184" t="str">
        <f>OBRA!Y509</f>
        <v>ARQ. JAIME CONDE GOMEZ</v>
      </c>
      <c r="AF511" s="19">
        <v>682.64</v>
      </c>
      <c r="AG511" s="2" t="s">
        <v>1548</v>
      </c>
      <c r="AH511" s="607">
        <f t="shared" si="31"/>
        <v>1387.5511396929569</v>
      </c>
      <c r="AI511" s="2">
        <v>100</v>
      </c>
      <c r="AJ511" s="514">
        <v>1000</v>
      </c>
      <c r="AK511" s="514"/>
      <c r="AL511" s="1551">
        <v>20.324774999999999</v>
      </c>
      <c r="AM511" s="1552">
        <v>103.48221100000001</v>
      </c>
      <c r="AN511" s="1247" t="s">
        <v>3531</v>
      </c>
      <c r="AO511" s="1247" t="s">
        <v>3531</v>
      </c>
      <c r="AP511" s="565"/>
      <c r="AQ511" s="1248" t="s">
        <v>3531</v>
      </c>
      <c r="AR511" s="1248"/>
      <c r="AS511" s="1263" t="s">
        <v>3531</v>
      </c>
      <c r="AT511" s="1869">
        <v>113550.87</v>
      </c>
      <c r="AU511" s="1869">
        <v>0</v>
      </c>
      <c r="AV511" s="1869">
        <v>211191.7</v>
      </c>
      <c r="AW511" s="1869">
        <v>0</v>
      </c>
      <c r="AX511" s="1869">
        <v>524071.24</v>
      </c>
      <c r="AY511" s="1869">
        <v>0</v>
      </c>
      <c r="AZ511" s="1869">
        <v>0</v>
      </c>
      <c r="BA511" s="1869">
        <v>0</v>
      </c>
      <c r="BB511" s="2">
        <v>95.33</v>
      </c>
      <c r="BC511" s="2"/>
      <c r="BD511" s="2">
        <v>96.6</v>
      </c>
      <c r="BE511" s="2">
        <v>0</v>
      </c>
      <c r="BF511" s="2" t="s">
        <v>6287</v>
      </c>
      <c r="BG511" s="2">
        <v>0</v>
      </c>
      <c r="BH511" s="413">
        <v>0</v>
      </c>
      <c r="BI511" s="413"/>
      <c r="BJ511" s="12"/>
    </row>
    <row r="512" spans="1:63"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4306</v>
      </c>
      <c r="L512" s="3" t="s">
        <v>4754</v>
      </c>
      <c r="M512" s="674" t="s">
        <v>4013</v>
      </c>
      <c r="N512" s="674" t="s">
        <v>1975</v>
      </c>
      <c r="O512" s="467" t="s">
        <v>4025</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2946</v>
      </c>
      <c r="Z512" s="146" t="str">
        <f>OBRA!X510</f>
        <v>JESSICA MONSERRAT RIVERA TORRES</v>
      </c>
      <c r="AA512" s="146" t="s">
        <v>5668</v>
      </c>
      <c r="AB512" s="148" t="s">
        <v>2935</v>
      </c>
      <c r="AC512" s="148" t="s">
        <v>2962</v>
      </c>
      <c r="AD512" s="146" t="s">
        <v>2962</v>
      </c>
      <c r="AE512" s="184" t="str">
        <f>OBRA!Y510</f>
        <v>ING. RIGOBERTO OLMEDO RAMOS</v>
      </c>
      <c r="AF512" s="19">
        <v>1</v>
      </c>
      <c r="AG512" s="2" t="s">
        <v>1462</v>
      </c>
      <c r="AH512" s="184">
        <f t="shared" si="31"/>
        <v>189588.55</v>
      </c>
      <c r="AI512" s="2">
        <v>11000</v>
      </c>
      <c r="AJ512" s="514">
        <v>11000</v>
      </c>
      <c r="AK512" s="514"/>
      <c r="AL512" s="1551">
        <v>20.285993000000001</v>
      </c>
      <c r="AM512" s="1552">
        <v>103.43696799999999</v>
      </c>
      <c r="AN512" s="1247" t="s">
        <v>3603</v>
      </c>
      <c r="AO512" s="565"/>
      <c r="AP512" s="1247" t="s">
        <v>3603</v>
      </c>
      <c r="AQ512" s="1248" t="s">
        <v>3603</v>
      </c>
      <c r="AR512" s="1248"/>
      <c r="AS512" s="1263" t="s">
        <v>3603</v>
      </c>
      <c r="AT512" s="1849"/>
      <c r="AU512" s="1849"/>
      <c r="AV512" s="1849"/>
      <c r="AW512" s="1849"/>
      <c r="AX512" s="1849"/>
      <c r="AY512" s="1849"/>
      <c r="AZ512" s="1849"/>
      <c r="BA512" s="1849"/>
      <c r="BB512" s="1718"/>
      <c r="BC512" s="1718"/>
      <c r="BD512" s="1718"/>
      <c r="BE512" s="1718"/>
      <c r="BF512" s="1718"/>
      <c r="BG512" s="1718"/>
      <c r="BH512" s="1718"/>
      <c r="BI512" s="413"/>
      <c r="BJ512" s="12"/>
    </row>
    <row r="513" spans="1:62"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4155</v>
      </c>
      <c r="L513" s="3" t="s">
        <v>6246</v>
      </c>
      <c r="M513" s="674" t="s">
        <v>4014</v>
      </c>
      <c r="N513" s="674" t="s">
        <v>2541</v>
      </c>
      <c r="O513" s="467" t="s">
        <v>4025</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2987</v>
      </c>
      <c r="Z513" s="146" t="str">
        <f>OBRA!X511</f>
        <v>ING. SERGIO CABRERA</v>
      </c>
      <c r="AA513" s="146" t="s">
        <v>5668</v>
      </c>
      <c r="AB513" s="148" t="s">
        <v>738</v>
      </c>
      <c r="AC513" s="2" t="s">
        <v>2979</v>
      </c>
      <c r="AD513" s="146" t="s">
        <v>2979</v>
      </c>
      <c r="AE513" s="184" t="str">
        <f>OBRA!Y511</f>
        <v>ING. LUIS RIGOBERTO OLMEDO NAVARRO</v>
      </c>
      <c r="AF513" s="19">
        <v>210</v>
      </c>
      <c r="AG513" s="2" t="s">
        <v>1450</v>
      </c>
      <c r="AH513" s="607">
        <f t="shared" si="31"/>
        <v>4580.6831904761902</v>
      </c>
      <c r="AI513" s="2">
        <v>370</v>
      </c>
      <c r="AJ513" s="514">
        <v>3600</v>
      </c>
      <c r="AK513" s="514"/>
      <c r="AL513" s="1551">
        <v>20.290914999999998</v>
      </c>
      <c r="AM513" s="1552">
        <v>103.393833</v>
      </c>
      <c r="AN513" s="1247" t="s">
        <v>3511</v>
      </c>
      <c r="AO513" s="1247" t="s">
        <v>3511</v>
      </c>
      <c r="AP513" s="1247" t="s">
        <v>4154</v>
      </c>
      <c r="AQ513" s="1248" t="s">
        <v>3511</v>
      </c>
      <c r="AR513" s="1248"/>
      <c r="AS513" s="1263" t="s">
        <v>3511</v>
      </c>
      <c r="AT513" s="1869">
        <v>0</v>
      </c>
      <c r="AU513" s="1869">
        <v>0</v>
      </c>
      <c r="AV513" s="1869">
        <f>330136.21*1.16</f>
        <v>382958.0036</v>
      </c>
      <c r="AW513" s="1869">
        <v>0</v>
      </c>
      <c r="AX513" s="1869">
        <v>620741.44999999995</v>
      </c>
      <c r="AY513" s="1869">
        <v>0</v>
      </c>
      <c r="AZ513" s="1869">
        <v>0</v>
      </c>
      <c r="BA513" s="1869">
        <v>0</v>
      </c>
      <c r="BB513" s="2">
        <v>0</v>
      </c>
      <c r="BC513" s="2"/>
      <c r="BD513" s="2">
        <v>210</v>
      </c>
      <c r="BE513" s="2">
        <v>0</v>
      </c>
      <c r="BF513" s="2">
        <v>837</v>
      </c>
      <c r="BG513" s="2">
        <v>0</v>
      </c>
      <c r="BH513" s="413">
        <v>0</v>
      </c>
      <c r="BI513" s="413" t="s">
        <v>550</v>
      </c>
      <c r="BJ513" s="12"/>
    </row>
    <row r="514" spans="1:62"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4156</v>
      </c>
      <c r="L514" s="3" t="s">
        <v>6245</v>
      </c>
      <c r="M514" s="674" t="s">
        <v>4014</v>
      </c>
      <c r="N514" s="3" t="s">
        <v>2541</v>
      </c>
      <c r="O514" s="467" t="s">
        <v>4025</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2978</v>
      </c>
      <c r="Z514" s="146" t="str">
        <f>OBRA!X512</f>
        <v>ING. SERGIO CABRERA</v>
      </c>
      <c r="AA514" s="146" t="s">
        <v>5668</v>
      </c>
      <c r="AB514" s="148" t="s">
        <v>738</v>
      </c>
      <c r="AC514" s="148" t="s">
        <v>2979</v>
      </c>
      <c r="AD514" s="146" t="s">
        <v>2979</v>
      </c>
      <c r="AE514" s="184" t="str">
        <f>OBRA!Y512</f>
        <v>ING. LUIS RIGOBERTO OLMEDO NAVARRO</v>
      </c>
      <c r="AF514" s="19">
        <v>218</v>
      </c>
      <c r="AG514" s="2" t="s">
        <v>1450</v>
      </c>
      <c r="AH514" s="607">
        <f t="shared" si="31"/>
        <v>4477.6498165137618</v>
      </c>
      <c r="AI514" s="2">
        <v>370</v>
      </c>
      <c r="AJ514" s="514">
        <v>3600</v>
      </c>
      <c r="AK514" s="514"/>
      <c r="AL514" s="1551">
        <v>20.290914999999998</v>
      </c>
      <c r="AM514" s="1552">
        <v>103.393833</v>
      </c>
      <c r="AN514" s="1247" t="s">
        <v>3510</v>
      </c>
      <c r="AO514" s="1247" t="s">
        <v>3510</v>
      </c>
      <c r="AP514" s="1247" t="s">
        <v>3510</v>
      </c>
      <c r="AQ514" s="1248" t="s">
        <v>3510</v>
      </c>
      <c r="AR514" s="1248"/>
      <c r="AS514" s="1263" t="s">
        <v>3510</v>
      </c>
      <c r="AT514" s="1869">
        <f>297029.47*1.16</f>
        <v>344554.18519999995</v>
      </c>
      <c r="AU514" s="1869">
        <v>121956.82</v>
      </c>
      <c r="AV514" s="1869">
        <v>0</v>
      </c>
      <c r="AW514" s="1869">
        <v>0</v>
      </c>
      <c r="AX514" s="1869">
        <f>549576.69*1.16</f>
        <v>637508.96039999987</v>
      </c>
      <c r="AY514" s="1869">
        <v>0</v>
      </c>
      <c r="AZ514" s="1869">
        <v>0</v>
      </c>
      <c r="BA514" s="1869">
        <v>0</v>
      </c>
      <c r="BB514" s="2">
        <v>187</v>
      </c>
      <c r="BC514" s="2" t="s">
        <v>6328</v>
      </c>
      <c r="BD514" s="2">
        <v>0</v>
      </c>
      <c r="BE514" s="2">
        <v>0</v>
      </c>
      <c r="BF514" s="2">
        <v>841.8</v>
      </c>
      <c r="BG514" s="2">
        <v>0</v>
      </c>
      <c r="BH514" s="413">
        <v>0</v>
      </c>
      <c r="BI514" s="413" t="s">
        <v>550</v>
      </c>
      <c r="BJ514" s="12"/>
    </row>
    <row r="515" spans="1:62" ht="115.5" hidden="1" customHeight="1">
      <c r="A515" s="16">
        <f>OBRA!K513</f>
        <v>2020</v>
      </c>
      <c r="B515" s="781" t="s">
        <v>2094</v>
      </c>
      <c r="C515" s="781">
        <v>206.26</v>
      </c>
      <c r="D515" s="1476" t="s">
        <v>4024</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6251</v>
      </c>
      <c r="M515" s="674" t="s">
        <v>4014</v>
      </c>
      <c r="N515" s="3" t="s">
        <v>2541</v>
      </c>
      <c r="O515" s="467" t="s">
        <v>4025</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3358</v>
      </c>
      <c r="Z515" s="146" t="str">
        <f>OBRA!X513</f>
        <v>ALSERCON SA DE CV</v>
      </c>
      <c r="AA515" s="146" t="s">
        <v>5669</v>
      </c>
      <c r="AB515" s="148" t="s">
        <v>2164</v>
      </c>
      <c r="AC515" s="148" t="s">
        <v>2165</v>
      </c>
      <c r="AD515" s="146" t="s">
        <v>2762</v>
      </c>
      <c r="AE515" s="184" t="str">
        <f>OBRA!Y513</f>
        <v>ARQ. CESAR ANTONIO ALONSO JIMENEZ</v>
      </c>
      <c r="AF515" s="19">
        <v>524.09</v>
      </c>
      <c r="AG515" s="2" t="s">
        <v>1548</v>
      </c>
      <c r="AH515" s="607">
        <f t="shared" si="31"/>
        <v>1569.2938426606115</v>
      </c>
      <c r="AI515" s="2">
        <v>700</v>
      </c>
      <c r="AJ515" s="514">
        <v>2700</v>
      </c>
      <c r="AK515" s="514"/>
      <c r="AL515" s="1551">
        <v>20.290914999999998</v>
      </c>
      <c r="AM515" s="1552">
        <v>103.393833</v>
      </c>
      <c r="AN515" s="1247" t="s">
        <v>3522</v>
      </c>
      <c r="AO515" s="1247" t="s">
        <v>3522</v>
      </c>
      <c r="AP515" s="1247" t="s">
        <v>3522</v>
      </c>
      <c r="AQ515" s="1248" t="s">
        <v>3522</v>
      </c>
      <c r="AR515" s="1248"/>
      <c r="AS515" s="1263" t="s">
        <v>3792</v>
      </c>
      <c r="AT515" s="1880">
        <v>0</v>
      </c>
      <c r="AU515" s="1880">
        <v>0</v>
      </c>
      <c r="AV515" s="1880">
        <v>0</v>
      </c>
      <c r="AW515" s="1880">
        <v>0</v>
      </c>
      <c r="AX515" s="1880">
        <f>263145.81*1.16</f>
        <v>305249.13959999999</v>
      </c>
      <c r="AY515" s="1880">
        <f>358241.84*1.16</f>
        <v>415560.5344</v>
      </c>
      <c r="AZ515" s="1880">
        <v>0</v>
      </c>
      <c r="BA515" s="1880">
        <v>0</v>
      </c>
      <c r="BB515" s="389">
        <v>0</v>
      </c>
      <c r="BC515" s="389">
        <v>0</v>
      </c>
      <c r="BD515" s="389">
        <v>0</v>
      </c>
      <c r="BE515" s="389">
        <v>0</v>
      </c>
      <c r="BF515" s="389">
        <v>410.06</v>
      </c>
      <c r="BG515" s="389">
        <v>523.42999999999995</v>
      </c>
      <c r="BH515" s="411">
        <v>0</v>
      </c>
      <c r="BI515" s="413"/>
      <c r="BJ515" s="12"/>
    </row>
    <row r="516" spans="1:62"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4307</v>
      </c>
      <c r="L516" s="1199" t="s">
        <v>4754</v>
      </c>
      <c r="M516" s="674" t="s">
        <v>3335</v>
      </c>
      <c r="N516" s="674" t="s">
        <v>1975</v>
      </c>
      <c r="O516" s="467" t="s">
        <v>4025</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3338</v>
      </c>
      <c r="Z516" s="146" t="str">
        <f>OBRA!X514</f>
        <v>CONVADI, S.A. DE C.V.</v>
      </c>
      <c r="AA516" s="146" t="s">
        <v>5669</v>
      </c>
      <c r="AB516" s="148" t="s">
        <v>3339</v>
      </c>
      <c r="AC516" s="146" t="s">
        <v>3340</v>
      </c>
      <c r="AD516" s="2" t="s">
        <v>3341</v>
      </c>
      <c r="AE516" s="184" t="str">
        <f>OBRA!Y514</f>
        <v>ING. J. GUADALUPE IBARRA RAMIREZ</v>
      </c>
      <c r="AF516" s="19">
        <v>250</v>
      </c>
      <c r="AG516" s="2" t="s">
        <v>1450</v>
      </c>
      <c r="AH516" s="607">
        <f t="shared" si="31"/>
        <v>10526.936599999999</v>
      </c>
      <c r="AI516" s="2">
        <v>22000</v>
      </c>
      <c r="AJ516" s="514">
        <v>22000</v>
      </c>
      <c r="AK516" s="514"/>
      <c r="AL516" s="1551">
        <v>20.291990999999999</v>
      </c>
      <c r="AM516" s="1552">
        <v>103.42882400000001</v>
      </c>
      <c r="AN516" s="1247" t="s">
        <v>3622</v>
      </c>
      <c r="AO516" s="565"/>
      <c r="AP516" s="565"/>
      <c r="AQ516" s="1248" t="s">
        <v>3622</v>
      </c>
      <c r="AR516" s="1248"/>
      <c r="AS516" s="1263" t="s">
        <v>3622</v>
      </c>
      <c r="AT516" s="1849"/>
      <c r="AU516" s="1849"/>
      <c r="AV516" s="1849"/>
      <c r="AW516" s="1849"/>
      <c r="AX516" s="1849"/>
      <c r="AY516" s="1849"/>
      <c r="AZ516" s="1849"/>
      <c r="BA516" s="1849"/>
      <c r="BB516" s="1718"/>
      <c r="BC516" s="1718"/>
      <c r="BD516" s="1718"/>
      <c r="BE516" s="1718"/>
      <c r="BF516" s="1718"/>
      <c r="BG516" s="1718"/>
      <c r="BH516" s="1718"/>
      <c r="BI516" s="413"/>
      <c r="BJ516" s="12"/>
    </row>
    <row r="517" spans="1:62" ht="54" hidden="1" customHeight="1">
      <c r="A517" s="16">
        <f>OBRA!K515</f>
        <v>2020</v>
      </c>
      <c r="B517" s="781" t="s">
        <v>2094</v>
      </c>
      <c r="C517" s="781">
        <v>206.28</v>
      </c>
      <c r="D517" s="1476" t="s">
        <v>4024</v>
      </c>
      <c r="E517" s="2" t="str">
        <f>OBRA!N515</f>
        <v>FOCOCI</v>
      </c>
      <c r="F517" s="697" t="s">
        <v>3525</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6243</v>
      </c>
      <c r="M517" s="674" t="s">
        <v>4014</v>
      </c>
      <c r="N517" s="674" t="s">
        <v>2541</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3629</v>
      </c>
      <c r="Z517" s="146" t="str">
        <f>OBRA!X515</f>
        <v>ING. SERGIO CABRERA</v>
      </c>
      <c r="AA517" s="146" t="s">
        <v>5668</v>
      </c>
      <c r="AB517" s="148" t="str">
        <f>Z517</f>
        <v>ING. SERGIO CABRERA</v>
      </c>
      <c r="AC517" s="146" t="s">
        <v>2979</v>
      </c>
      <c r="AD517" s="2" t="s">
        <v>2979</v>
      </c>
      <c r="AE517" s="184" t="str">
        <f>OBRA!Y515</f>
        <v>ARQ. EDUARDO ROMERO CARRILLO</v>
      </c>
      <c r="AF517" s="19">
        <v>8536.41</v>
      </c>
      <c r="AG517" s="2" t="s">
        <v>1548</v>
      </c>
      <c r="AH517" s="607">
        <f t="shared" si="31"/>
        <v>968.8589090730178</v>
      </c>
      <c r="AI517" s="2">
        <v>3600</v>
      </c>
      <c r="AJ517" s="514">
        <v>3600</v>
      </c>
      <c r="AK517" s="514"/>
      <c r="AL517" s="1551">
        <v>20.291142000000001</v>
      </c>
      <c r="AM517" s="1552">
        <v>103.39428100000001</v>
      </c>
      <c r="AN517" s="1247" t="s">
        <v>3542</v>
      </c>
      <c r="AO517" s="1247" t="s">
        <v>3542</v>
      </c>
      <c r="AP517" s="1247" t="s">
        <v>3542</v>
      </c>
      <c r="AQ517" s="1248" t="s">
        <v>3542</v>
      </c>
      <c r="AR517" s="1248"/>
      <c r="AS517" s="1263" t="s">
        <v>3542</v>
      </c>
      <c r="AT517" s="1849"/>
      <c r="AU517" s="1849"/>
      <c r="AV517" s="1849"/>
      <c r="AW517" s="1849"/>
      <c r="AX517" s="1849"/>
      <c r="AY517" s="1849"/>
      <c r="AZ517" s="1849"/>
      <c r="BA517" s="1849"/>
      <c r="BB517" s="1718"/>
      <c r="BC517" s="1718"/>
      <c r="BD517" s="1718"/>
      <c r="BE517" s="1718"/>
      <c r="BF517" s="1718"/>
      <c r="BG517" s="1718"/>
      <c r="BH517" s="1718"/>
      <c r="BI517" s="413"/>
      <c r="BJ517" s="12"/>
    </row>
    <row r="518" spans="1:62" ht="74.25" hidden="1" customHeight="1">
      <c r="A518" s="16">
        <f>OBRA!K516</f>
        <v>2020</v>
      </c>
      <c r="B518" s="781" t="s">
        <v>2094</v>
      </c>
      <c r="C518" s="781">
        <v>206.29</v>
      </c>
      <c r="D518" s="1476" t="s">
        <v>4024</v>
      </c>
      <c r="E518" s="2" t="str">
        <f>OBRA!N516</f>
        <v>FOCOCI</v>
      </c>
      <c r="F518" s="697" t="s">
        <v>3525</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6243</v>
      </c>
      <c r="M518" s="674" t="s">
        <v>4014</v>
      </c>
      <c r="N518" s="674" t="s">
        <v>2541</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3369</v>
      </c>
      <c r="Z518" s="146" t="str">
        <f>OBRA!X516</f>
        <v xml:space="preserve">SOJO SERVICIOS DE INGENIERIA Y OBRAS, S.A. DE C.V. </v>
      </c>
      <c r="AA518" s="146" t="s">
        <v>5669</v>
      </c>
      <c r="AB518" s="148" t="s">
        <v>3345</v>
      </c>
      <c r="AC518" s="146" t="s">
        <v>3346</v>
      </c>
      <c r="AD518" s="2" t="s">
        <v>3347</v>
      </c>
      <c r="AE518" s="184" t="str">
        <f>OBRA!Y516</f>
        <v>ARQ. EDUARDO ROMERO CARRILLO</v>
      </c>
      <c r="AF518" s="19">
        <v>185.76</v>
      </c>
      <c r="AG518" s="2" t="s">
        <v>1548</v>
      </c>
      <c r="AH518" s="607">
        <f t="shared" si="31"/>
        <v>9309.9322243755396</v>
      </c>
      <c r="AI518" s="2">
        <v>3600</v>
      </c>
      <c r="AJ518" s="514">
        <v>3600</v>
      </c>
      <c r="AK518" s="514"/>
      <c r="AL518" s="1551">
        <v>20.291142000000001</v>
      </c>
      <c r="AM518" s="1552">
        <v>103.39428100000001</v>
      </c>
      <c r="AN518" s="1247" t="s">
        <v>3543</v>
      </c>
      <c r="AO518" s="1247" t="s">
        <v>3543</v>
      </c>
      <c r="AP518" s="1247" t="s">
        <v>3543</v>
      </c>
      <c r="AQ518" s="1248" t="s">
        <v>3543</v>
      </c>
      <c r="AR518" s="1248"/>
      <c r="AS518" s="1263" t="s">
        <v>3543</v>
      </c>
      <c r="AT518" s="1849"/>
      <c r="AU518" s="1849"/>
      <c r="AV518" s="1849"/>
      <c r="AW518" s="1849"/>
      <c r="AX518" s="1849"/>
      <c r="AY518" s="1849"/>
      <c r="AZ518" s="1849"/>
      <c r="BA518" s="1849"/>
      <c r="BB518" s="1718"/>
      <c r="BC518" s="1718"/>
      <c r="BD518" s="1718"/>
      <c r="BE518" s="1718"/>
      <c r="BF518" s="1718"/>
      <c r="BG518" s="1718"/>
      <c r="BH518" s="1718"/>
      <c r="BI518" s="413"/>
      <c r="BJ518" s="12"/>
    </row>
    <row r="519" spans="1:62" ht="78" hidden="1" customHeight="1">
      <c r="A519" s="16">
        <f>OBRA!K517</f>
        <v>2020</v>
      </c>
      <c r="B519" s="781" t="s">
        <v>2094</v>
      </c>
      <c r="C519" s="781">
        <v>206.3</v>
      </c>
      <c r="D519" s="1476" t="s">
        <v>4024</v>
      </c>
      <c r="E519" s="2" t="str">
        <f>OBRA!N517</f>
        <v>FOCOCI</v>
      </c>
      <c r="F519" s="697" t="s">
        <v>3525</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6242</v>
      </c>
      <c r="M519" s="674" t="s">
        <v>4015</v>
      </c>
      <c r="N519" s="674" t="s">
        <v>1975</v>
      </c>
      <c r="O519" s="467" t="s">
        <v>4025</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3368</v>
      </c>
      <c r="Z519" s="146" t="str">
        <f>OBRA!X517</f>
        <v xml:space="preserve">DESARROLLO DAP S.A. DE C.V. </v>
      </c>
      <c r="AA519" s="146" t="s">
        <v>5669</v>
      </c>
      <c r="AB519" s="148" t="s">
        <v>3363</v>
      </c>
      <c r="AC519" s="146" t="s">
        <v>2943</v>
      </c>
      <c r="AD519" s="2" t="s">
        <v>3364</v>
      </c>
      <c r="AE519" s="184" t="str">
        <f>OBRA!Y517</f>
        <v>LIC. SALVADOR CONTRERAS OLGUÍN</v>
      </c>
      <c r="AF519" s="19">
        <v>2007.25</v>
      </c>
      <c r="AG519" s="2" t="s">
        <v>1548</v>
      </c>
      <c r="AH519" s="607">
        <f t="shared" si="31"/>
        <v>2575.8744351724995</v>
      </c>
      <c r="AI519" s="2">
        <v>21500</v>
      </c>
      <c r="AJ519" s="514">
        <v>35000</v>
      </c>
      <c r="AK519" s="514"/>
      <c r="AL519" s="1551">
        <v>20.286819999999999</v>
      </c>
      <c r="AM519" s="1552">
        <v>103.43096199999999</v>
      </c>
      <c r="AN519" s="1247" t="s">
        <v>3627</v>
      </c>
      <c r="AO519" s="1247" t="s">
        <v>3627</v>
      </c>
      <c r="AP519" s="1247" t="s">
        <v>3627</v>
      </c>
      <c r="AQ519" s="1248" t="s">
        <v>3627</v>
      </c>
      <c r="AR519" s="1248"/>
      <c r="AS519" s="1263" t="s">
        <v>3627</v>
      </c>
      <c r="AT519" s="1849"/>
      <c r="AU519" s="1849"/>
      <c r="AV519" s="1849"/>
      <c r="AW519" s="1849"/>
      <c r="AX519" s="1849"/>
      <c r="AY519" s="1849"/>
      <c r="AZ519" s="1849"/>
      <c r="BA519" s="1849"/>
      <c r="BB519" s="1718"/>
      <c r="BC519" s="1718"/>
      <c r="BD519" s="1718"/>
      <c r="BE519" s="1718"/>
      <c r="BF519" s="1718"/>
      <c r="BG519" s="1718"/>
      <c r="BH519" s="1718"/>
      <c r="BI519" s="413"/>
      <c r="BJ519" s="12"/>
    </row>
    <row r="520" spans="1:62" ht="73.5" hidden="1" customHeight="1">
      <c r="A520" s="16">
        <f>OBRA!K518</f>
        <v>2020</v>
      </c>
      <c r="B520" s="781" t="s">
        <v>2094</v>
      </c>
      <c r="C520" s="781">
        <v>206.31</v>
      </c>
      <c r="D520" s="1476" t="s">
        <v>4024</v>
      </c>
      <c r="E520" s="2" t="str">
        <f>OBRA!N518</f>
        <v>FOCOCI</v>
      </c>
      <c r="F520" s="597" t="s">
        <v>3525</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6242</v>
      </c>
      <c r="M520" s="674" t="s">
        <v>4015</v>
      </c>
      <c r="N520" s="674" t="s">
        <v>1975</v>
      </c>
      <c r="O520" s="505" t="s">
        <v>4026</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3368</v>
      </c>
      <c r="Z520" s="146" t="str">
        <f>OBRA!X518</f>
        <v xml:space="preserve">JUAN PABLO BALLESTEROS ARREOLA </v>
      </c>
      <c r="AA520" s="146" t="s">
        <v>5668</v>
      </c>
      <c r="AB520" s="148" t="str">
        <f>Z520</f>
        <v xml:space="preserve">JUAN PABLO BALLESTEROS ARREOLA </v>
      </c>
      <c r="AC520" s="148" t="s">
        <v>2979</v>
      </c>
      <c r="AD520" s="1111" t="s">
        <v>2979</v>
      </c>
      <c r="AE520" s="184" t="str">
        <f>OBRA!Y518</f>
        <v>LIC. SALVADOR CONTRERAS OLGUÍN</v>
      </c>
      <c r="AF520" s="19">
        <v>2007.25</v>
      </c>
      <c r="AG520" s="2" t="s">
        <v>1548</v>
      </c>
      <c r="AH520" s="607">
        <f t="shared" si="31"/>
        <v>2306.3771627849046</v>
      </c>
      <c r="AI520" s="2">
        <v>21500</v>
      </c>
      <c r="AJ520" s="514">
        <v>35000</v>
      </c>
      <c r="AK520" s="514"/>
      <c r="AL520" s="1551">
        <v>20.286819999999999</v>
      </c>
      <c r="AM520" s="1552">
        <v>103.43096199999999</v>
      </c>
      <c r="AN520" s="1247" t="s">
        <v>3628</v>
      </c>
      <c r="AO520" s="1247" t="s">
        <v>3628</v>
      </c>
      <c r="AP520" s="1247" t="s">
        <v>3628</v>
      </c>
      <c r="AQ520" s="1248" t="s">
        <v>3628</v>
      </c>
      <c r="AR520" s="1248"/>
      <c r="AS520" s="1263" t="s">
        <v>3628</v>
      </c>
      <c r="AT520" s="1849"/>
      <c r="AU520" s="1849"/>
      <c r="AV520" s="1849"/>
      <c r="AW520" s="1849"/>
      <c r="AX520" s="1849"/>
      <c r="AY520" s="1849"/>
      <c r="AZ520" s="1849"/>
      <c r="BA520" s="1849"/>
      <c r="BB520" s="1718"/>
      <c r="BC520" s="1718"/>
      <c r="BD520" s="1718"/>
      <c r="BE520" s="1718"/>
      <c r="BF520" s="1718"/>
      <c r="BG520" s="1718"/>
      <c r="BH520" s="1718"/>
      <c r="BI520" s="413"/>
      <c r="BJ520" s="12"/>
    </row>
    <row r="521" spans="1:62"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4157</v>
      </c>
      <c r="L521" s="3" t="s">
        <v>4750</v>
      </c>
      <c r="M521" s="674" t="s">
        <v>4090</v>
      </c>
      <c r="N521" s="674" t="s">
        <v>2527</v>
      </c>
      <c r="O521" s="505" t="s">
        <v>4026</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4138</v>
      </c>
      <c r="Z521" s="146" t="str">
        <f>OBRA!X519</f>
        <v>SERVICIO Y CONSTRUCCIÓN NATENIO S.A. DE C.V.</v>
      </c>
      <c r="AA521" s="146" t="s">
        <v>5669</v>
      </c>
      <c r="AB521" s="148" t="s">
        <v>2808</v>
      </c>
      <c r="AC521" s="2" t="s">
        <v>2809</v>
      </c>
      <c r="AD521" s="1111" t="s">
        <v>2972</v>
      </c>
      <c r="AE521" s="184" t="str">
        <f>OBRA!Y519</f>
        <v>LIC. SALVADOR CONTRERAS OLGUÍN</v>
      </c>
      <c r="AF521" s="19">
        <v>172.45</v>
      </c>
      <c r="AG521" s="2" t="s">
        <v>1450</v>
      </c>
      <c r="AH521" s="607">
        <f t="shared" si="31"/>
        <v>1668.7246738184983</v>
      </c>
      <c r="AI521" s="2">
        <v>50</v>
      </c>
      <c r="AJ521" s="514">
        <v>50</v>
      </c>
      <c r="AK521" s="514"/>
      <c r="AL521" s="1551">
        <v>20.287182999999999</v>
      </c>
      <c r="AM521" s="1552">
        <v>103.334082</v>
      </c>
      <c r="AN521" s="563" t="s">
        <v>4139</v>
      </c>
      <c r="AO521" s="563" t="s">
        <v>4139</v>
      </c>
      <c r="AP521" s="563" t="s">
        <v>4139</v>
      </c>
      <c r="AQ521" s="502" t="s">
        <v>4139</v>
      </c>
      <c r="AR521" s="502"/>
      <c r="AS521" s="1535" t="s">
        <v>4139</v>
      </c>
      <c r="AT521" s="1849"/>
      <c r="AU521" s="1849"/>
      <c r="AV521" s="1849"/>
      <c r="AW521" s="1849"/>
      <c r="AX521" s="1849"/>
      <c r="AY521" s="1849"/>
      <c r="AZ521" s="1849"/>
      <c r="BA521" s="1849"/>
      <c r="BB521" s="1718"/>
      <c r="BC521" s="1718"/>
      <c r="BD521" s="1718"/>
      <c r="BE521" s="1718"/>
      <c r="BF521" s="1718"/>
      <c r="BG521" s="1718"/>
      <c r="BH521" s="1718"/>
      <c r="BI521" s="413" t="s">
        <v>550</v>
      </c>
      <c r="BJ521" s="12"/>
    </row>
    <row r="522" spans="1:62" ht="228" hidden="1" customHeight="1">
      <c r="A522" s="16">
        <f>OBRA!K520</f>
        <v>2020</v>
      </c>
      <c r="B522" s="781" t="s">
        <v>2094</v>
      </c>
      <c r="C522" s="781">
        <v>206.33</v>
      </c>
      <c r="D522" s="781"/>
      <c r="E522" s="2" t="str">
        <f>OBRA!N520</f>
        <v>RESCATE AL PATRIMONIO</v>
      </c>
      <c r="F522" s="697" t="s">
        <v>3525</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4158</v>
      </c>
      <c r="L522" s="3" t="s">
        <v>6242</v>
      </c>
      <c r="M522" s="674" t="s">
        <v>3979</v>
      </c>
      <c r="N522" s="674" t="s">
        <v>1975</v>
      </c>
      <c r="O522" s="505" t="s">
        <v>4026</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3342</v>
      </c>
      <c r="Z522" s="146" t="str">
        <f>OBRA!X520</f>
        <v>CONSTRUCCIONES ADMAYAL, S.A. DE C.V</v>
      </c>
      <c r="AA522" s="146" t="s">
        <v>5669</v>
      </c>
      <c r="AB522" s="148" t="s">
        <v>3348</v>
      </c>
      <c r="AC522" s="2" t="s">
        <v>3349</v>
      </c>
      <c r="AD522" s="146" t="s">
        <v>3350</v>
      </c>
      <c r="AE522" s="184" t="str">
        <f>OBRA!Y520</f>
        <v>ING. LUIS RIGOBERTO OLMEDO NAVARRO</v>
      </c>
      <c r="AF522" s="19">
        <v>2832.99</v>
      </c>
      <c r="AG522" s="2" t="s">
        <v>1548</v>
      </c>
      <c r="AH522" s="607">
        <f t="shared" si="31"/>
        <v>564.77431971168278</v>
      </c>
      <c r="AI522" s="2">
        <v>7000</v>
      </c>
      <c r="AJ522" s="514">
        <v>21500</v>
      </c>
      <c r="AK522" s="514"/>
      <c r="AL522" s="1551">
        <v>20.285461999999999</v>
      </c>
      <c r="AM522" s="1552">
        <v>103.429884</v>
      </c>
      <c r="AN522" s="1247" t="s">
        <v>3508</v>
      </c>
      <c r="AO522" s="1247" t="s">
        <v>3508</v>
      </c>
      <c r="AP522" s="1247" t="s">
        <v>3508</v>
      </c>
      <c r="AQ522" s="1248" t="s">
        <v>3508</v>
      </c>
      <c r="AR522" s="1248"/>
      <c r="AS522" s="1263" t="s">
        <v>3508</v>
      </c>
      <c r="AT522" s="1849"/>
      <c r="AU522" s="1849"/>
      <c r="AV522" s="1849"/>
      <c r="AW522" s="1849"/>
      <c r="AX522" s="1849"/>
      <c r="AY522" s="1849"/>
      <c r="AZ522" s="1849"/>
      <c r="BA522" s="1849"/>
      <c r="BB522" s="1718"/>
      <c r="BC522" s="1718"/>
      <c r="BD522" s="1718"/>
      <c r="BE522" s="1718"/>
      <c r="BF522" s="1718"/>
      <c r="BG522" s="1718"/>
      <c r="BH522" s="1718"/>
      <c r="BI522" s="413" t="s">
        <v>550</v>
      </c>
      <c r="BJ522" s="12"/>
    </row>
    <row r="523" spans="1:62"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4159</v>
      </c>
      <c r="L523" s="1348" t="s">
        <v>6250</v>
      </c>
      <c r="M523" s="674" t="s">
        <v>4016</v>
      </c>
      <c r="N523" s="674" t="s">
        <v>1975</v>
      </c>
      <c r="O523" s="505" t="s">
        <v>4026</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4140</v>
      </c>
      <c r="Z523" s="146" t="str">
        <f>OBRA!X521</f>
        <v>CONSTRUCCIÓN Y SUPERVISIÓN COMA S.A. DE C.V.</v>
      </c>
      <c r="AA523" s="146" t="s">
        <v>5669</v>
      </c>
      <c r="AB523" s="148" t="s">
        <v>2904</v>
      </c>
      <c r="AC523" s="148" t="s">
        <v>2893</v>
      </c>
      <c r="AD523" s="1111" t="s">
        <v>4141</v>
      </c>
      <c r="AE523" s="184" t="str">
        <f>OBRA!Y521</f>
        <v>ARQ. CESAR ANTONIO ALONSO JIMENEZ</v>
      </c>
      <c r="AF523" s="19">
        <f>295.6+302.84</f>
        <v>598.44000000000005</v>
      </c>
      <c r="AG523" s="2" t="s">
        <v>1450</v>
      </c>
      <c r="AH523" s="607">
        <f t="shared" si="31"/>
        <v>1522.6969453913507</v>
      </c>
      <c r="AI523" s="2">
        <v>150</v>
      </c>
      <c r="AJ523" s="514">
        <v>300</v>
      </c>
      <c r="AK523" s="514"/>
      <c r="AL523" s="1551">
        <v>20.279247000000002</v>
      </c>
      <c r="AM523" s="1552">
        <v>103.446308</v>
      </c>
      <c r="AN523" s="563" t="s">
        <v>3665</v>
      </c>
      <c r="AO523" s="563" t="s">
        <v>3665</v>
      </c>
      <c r="AP523" s="563" t="s">
        <v>3665</v>
      </c>
      <c r="AQ523" s="502" t="s">
        <v>3665</v>
      </c>
      <c r="AR523" s="502"/>
      <c r="AS523" s="1535" t="s">
        <v>3665</v>
      </c>
      <c r="AT523" s="1869">
        <v>355010.78</v>
      </c>
      <c r="AU523" s="1869">
        <v>0</v>
      </c>
      <c r="AV523" s="1869">
        <v>559187.35</v>
      </c>
      <c r="AW523" s="1869">
        <v>0</v>
      </c>
      <c r="AX523" s="1869">
        <v>0</v>
      </c>
      <c r="AY523" s="1869">
        <v>0</v>
      </c>
      <c r="AZ523" s="1869">
        <v>0</v>
      </c>
      <c r="BA523" s="1869">
        <v>0</v>
      </c>
      <c r="BB523" s="2">
        <v>295.60000000000002</v>
      </c>
      <c r="BC523" s="2">
        <v>0</v>
      </c>
      <c r="BD523" s="2">
        <v>302.83999999999997</v>
      </c>
      <c r="BE523" s="2">
        <v>0</v>
      </c>
      <c r="BF523" s="2">
        <v>0</v>
      </c>
      <c r="BG523" s="2">
        <v>0</v>
      </c>
      <c r="BH523" s="413">
        <v>0</v>
      </c>
      <c r="BI523" s="413" t="s">
        <v>550</v>
      </c>
      <c r="BJ523" s="12"/>
    </row>
    <row r="524" spans="1:62" ht="62.25" hidden="1" customHeight="1">
      <c r="A524" s="16">
        <f>OBRA!K522</f>
        <v>2020</v>
      </c>
      <c r="B524" s="781" t="s">
        <v>2094</v>
      </c>
      <c r="C524" s="781">
        <v>206.35</v>
      </c>
      <c r="D524" s="781"/>
      <c r="E524" s="2" t="str">
        <f>OBRA!N522</f>
        <v>RASTRO DIGNO</v>
      </c>
      <c r="F524" s="597" t="s">
        <v>3525</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6242</v>
      </c>
      <c r="M524" s="674" t="s">
        <v>2002</v>
      </c>
      <c r="N524" s="674" t="s">
        <v>1975</v>
      </c>
      <c r="O524" s="505" t="s">
        <v>4026</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3366</v>
      </c>
      <c r="Z524" s="146" t="str">
        <f>OBRA!X522</f>
        <v>ALSERCON SA DE CV</v>
      </c>
      <c r="AA524" s="146" t="s">
        <v>5669</v>
      </c>
      <c r="AB524" s="148" t="s">
        <v>2164</v>
      </c>
      <c r="AC524" s="148" t="s">
        <v>2165</v>
      </c>
      <c r="AD524" s="146" t="s">
        <v>3367</v>
      </c>
      <c r="AE524" s="184" t="str">
        <f>OBRA!Y522</f>
        <v>ARQ. JAIME CONDE GOMEZ</v>
      </c>
      <c r="AF524" s="161"/>
      <c r="AG524" s="2" t="s">
        <v>1548</v>
      </c>
      <c r="AH524" s="554" t="e">
        <f t="shared" si="31"/>
        <v>#DIV/0!</v>
      </c>
      <c r="AI524" s="2">
        <v>250</v>
      </c>
      <c r="AJ524" s="514">
        <v>49000</v>
      </c>
      <c r="AK524" s="514"/>
      <c r="AL524" s="1551">
        <v>20.279305999999998</v>
      </c>
      <c r="AM524" s="1552">
        <v>103.44510099999999</v>
      </c>
      <c r="AN524" s="1301" t="s">
        <v>4160</v>
      </c>
      <c r="AO524" s="565"/>
      <c r="AP524" s="565"/>
      <c r="AQ524" s="507"/>
      <c r="AR524" s="507"/>
      <c r="AS524" s="1292"/>
      <c r="AT524" s="1849"/>
      <c r="AU524" s="1849"/>
      <c r="AV524" s="1849"/>
      <c r="AW524" s="1849"/>
      <c r="AX524" s="1849"/>
      <c r="AY524" s="1849"/>
      <c r="AZ524" s="1849"/>
      <c r="BA524" s="1849"/>
      <c r="BB524" s="1718"/>
      <c r="BC524" s="1718"/>
      <c r="BD524" s="1718"/>
      <c r="BE524" s="1718"/>
      <c r="BF524" s="1718"/>
      <c r="BG524" s="1718"/>
      <c r="BH524" s="1718"/>
      <c r="BI524" s="413"/>
      <c r="BJ524" s="12"/>
    </row>
    <row r="525" spans="1:62"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5668</v>
      </c>
      <c r="AB525" s="1193">
        <f>Z525</f>
        <v>0</v>
      </c>
      <c r="AC525" s="1193"/>
      <c r="AD525" s="163"/>
      <c r="AE525" s="554">
        <f>OBRA!Y523</f>
        <v>0</v>
      </c>
      <c r="AF525" s="161"/>
      <c r="AG525" s="511"/>
      <c r="AH525" s="554" t="e">
        <f t="shared" si="31"/>
        <v>#DIV/0!</v>
      </c>
      <c r="AI525" s="511"/>
      <c r="AJ525" s="507"/>
      <c r="AK525" s="507"/>
      <c r="AL525" s="626"/>
      <c r="AM525" s="1546"/>
      <c r="AN525" s="565"/>
      <c r="AO525" s="565"/>
      <c r="AP525" s="565"/>
      <c r="AQ525" s="507"/>
      <c r="AR525" s="507"/>
      <c r="AS525" s="1292"/>
      <c r="AT525" s="1718"/>
      <c r="AU525" s="1718"/>
      <c r="AV525" s="1718"/>
      <c r="AW525" s="1718"/>
      <c r="AX525" s="1718"/>
      <c r="AY525" s="1718"/>
      <c r="AZ525" s="1718"/>
      <c r="BA525" s="1718"/>
      <c r="BB525" s="1718"/>
      <c r="BC525" s="1718"/>
      <c r="BD525" s="1718"/>
      <c r="BE525" s="1718"/>
      <c r="BF525" s="1718"/>
      <c r="BG525" s="1718"/>
      <c r="BH525" s="1718"/>
      <c r="BI525" s="413"/>
      <c r="BJ525" s="12"/>
    </row>
    <row r="526" spans="1:62"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4751</v>
      </c>
      <c r="M526" s="674" t="s">
        <v>3998</v>
      </c>
      <c r="N526" s="674" t="s">
        <v>1975</v>
      </c>
      <c r="O526" s="532" t="s">
        <v>4026</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3343</v>
      </c>
      <c r="Z526" s="146" t="str">
        <f>OBRA!X524</f>
        <v>PLANOS Y OBRAS LODEIRO S.A. DE C.V.</v>
      </c>
      <c r="AA526" s="146" t="s">
        <v>5669</v>
      </c>
      <c r="AB526" s="148" t="s">
        <v>3351</v>
      </c>
      <c r="AC526" s="2" t="s">
        <v>3352</v>
      </c>
      <c r="AD526" s="146" t="s">
        <v>3353</v>
      </c>
      <c r="AE526" s="184" t="str">
        <f>OBRA!Y524</f>
        <v>ING. RIGOBERTO OR / ARQ. JAIME CONDE</v>
      </c>
      <c r="AF526" s="19">
        <v>251.6</v>
      </c>
      <c r="AG526" s="2" t="s">
        <v>1548</v>
      </c>
      <c r="AH526" s="607">
        <f t="shared" si="31"/>
        <v>912.14729729729731</v>
      </c>
      <c r="AI526" s="2">
        <v>2000</v>
      </c>
      <c r="AJ526" s="514">
        <v>22000</v>
      </c>
      <c r="AK526" s="514"/>
      <c r="AL526" s="1551">
        <v>20.292607</v>
      </c>
      <c r="AM526" s="1552">
        <v>103.435622</v>
      </c>
      <c r="AN526" s="1301" t="s">
        <v>3793</v>
      </c>
      <c r="AO526" s="1247" t="s">
        <v>3793</v>
      </c>
      <c r="AP526" s="1247" t="s">
        <v>3793</v>
      </c>
      <c r="AQ526" s="1248" t="s">
        <v>3793</v>
      </c>
      <c r="AR526" s="1248"/>
      <c r="AS526" s="1263" t="s">
        <v>3793</v>
      </c>
      <c r="AT526" s="1849"/>
      <c r="AU526" s="1849"/>
      <c r="AV526" s="1849"/>
      <c r="AW526" s="1849"/>
      <c r="AX526" s="1849"/>
      <c r="AY526" s="1849"/>
      <c r="AZ526" s="1849"/>
      <c r="BA526" s="1849"/>
      <c r="BB526" s="1718"/>
      <c r="BC526" s="1718"/>
      <c r="BD526" s="1718"/>
      <c r="BE526" s="1718"/>
      <c r="BF526" s="1718"/>
      <c r="BG526" s="1718"/>
      <c r="BH526" s="1718"/>
      <c r="BI526" s="413"/>
      <c r="BJ526" s="12"/>
    </row>
    <row r="527" spans="1:62"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5420</v>
      </c>
      <c r="M527" s="674" t="s">
        <v>4017</v>
      </c>
      <c r="N527" s="674" t="s">
        <v>3779</v>
      </c>
      <c r="O527" s="505" t="s">
        <v>4026</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3344</v>
      </c>
      <c r="Z527" s="146" t="str">
        <f>OBRA!X525</f>
        <v>ALSERCON SA DE CV</v>
      </c>
      <c r="AA527" s="146" t="s">
        <v>5669</v>
      </c>
      <c r="AB527" s="148" t="s">
        <v>2164</v>
      </c>
      <c r="AC527" s="2" t="s">
        <v>2165</v>
      </c>
      <c r="AD527" s="146" t="s">
        <v>2762</v>
      </c>
      <c r="AE527" s="184" t="str">
        <f>OBRA!Y525</f>
        <v>ARQ. JAIME CONDE GOMEZ</v>
      </c>
      <c r="AF527" s="19">
        <v>462.05</v>
      </c>
      <c r="AG527" s="2" t="s">
        <v>1548</v>
      </c>
      <c r="AH527" s="554">
        <f t="shared" si="31"/>
        <v>0</v>
      </c>
      <c r="AI527" s="2">
        <v>350</v>
      </c>
      <c r="AJ527" s="514">
        <v>500</v>
      </c>
      <c r="AK527" s="514"/>
      <c r="AL527" s="1551">
        <v>20.297528</v>
      </c>
      <c r="AM527" s="1552">
        <v>103.47035</v>
      </c>
      <c r="AN527" s="1301" t="s">
        <v>3654</v>
      </c>
      <c r="AO527" s="1247" t="s">
        <v>3654</v>
      </c>
      <c r="AP527" s="1247" t="s">
        <v>3654</v>
      </c>
      <c r="AQ527" s="1248" t="s">
        <v>3654</v>
      </c>
      <c r="AR527" s="1248"/>
      <c r="AS527" s="1292"/>
      <c r="AT527" s="1849"/>
      <c r="AU527" s="1849"/>
      <c r="AV527" s="1849"/>
      <c r="AW527" s="1849"/>
      <c r="AX527" s="1849"/>
      <c r="AY527" s="1849"/>
      <c r="AZ527" s="1849"/>
      <c r="BA527" s="1849"/>
      <c r="BB527" s="1718"/>
      <c r="BC527" s="1718"/>
      <c r="BD527" s="1718"/>
      <c r="BE527" s="1718"/>
      <c r="BF527" s="1718"/>
      <c r="BG527" s="1718"/>
      <c r="BH527" s="1718"/>
      <c r="BI527" s="413"/>
      <c r="BJ527" s="12"/>
    </row>
    <row r="528" spans="1:62" ht="144.75" hidden="1" customHeight="1">
      <c r="A528" s="16">
        <f>OBRA!K526</f>
        <v>2021</v>
      </c>
      <c r="B528" s="781" t="s">
        <v>2094</v>
      </c>
      <c r="C528" s="781">
        <f>OBRA!L526</f>
        <v>211004</v>
      </c>
      <c r="D528" s="781" t="s">
        <v>550</v>
      </c>
      <c r="E528" s="2" t="str">
        <f>OBRA!N526</f>
        <v>FOCOCI</v>
      </c>
      <c r="F528" s="697" t="s">
        <v>3808</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4063</v>
      </c>
      <c r="N528" s="674" t="s">
        <v>2578</v>
      </c>
      <c r="O528" s="532" t="s">
        <v>3808</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1542"/>
      <c r="AM528" s="1543"/>
      <c r="AN528" s="563" t="s">
        <v>3808</v>
      </c>
      <c r="AO528" s="563" t="s">
        <v>67</v>
      </c>
      <c r="AP528" s="563" t="s">
        <v>67</v>
      </c>
      <c r="AQ528" s="514" t="s">
        <v>67</v>
      </c>
      <c r="AR528" s="514"/>
      <c r="AS528" s="1456" t="s">
        <v>67</v>
      </c>
      <c r="AT528" s="1846"/>
      <c r="AU528" s="1846"/>
      <c r="AV528" s="1846"/>
      <c r="AW528" s="1846"/>
      <c r="AX528" s="1846"/>
      <c r="AY528" s="1846"/>
      <c r="AZ528" s="1846"/>
      <c r="BA528" s="1846"/>
      <c r="BB528" s="1846"/>
      <c r="BC528" s="1846"/>
      <c r="BD528" s="1846"/>
      <c r="BE528" s="1846"/>
      <c r="BF528" s="1846"/>
      <c r="BG528" s="1846"/>
      <c r="BH528" s="1846"/>
      <c r="BI528" s="413" t="s">
        <v>550</v>
      </c>
      <c r="BJ528" s="12"/>
    </row>
    <row r="529" spans="1:62"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4084</v>
      </c>
      <c r="N529" s="106" t="s">
        <v>3626</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3485</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1549" t="s">
        <v>67</v>
      </c>
      <c r="AM529" s="1550" t="s">
        <v>67</v>
      </c>
      <c r="AN529" s="1533"/>
      <c r="AO529" s="1533"/>
      <c r="AP529" s="1533"/>
      <c r="AQ529" s="517"/>
      <c r="AR529" s="517"/>
      <c r="AS529" s="1529"/>
      <c r="AT529" s="1847"/>
      <c r="AU529" s="1847"/>
      <c r="AV529" s="1847"/>
      <c r="AW529" s="1847"/>
      <c r="AX529" s="1847"/>
      <c r="AY529" s="1847"/>
      <c r="AZ529" s="1847"/>
      <c r="BA529" s="1847"/>
      <c r="BB529" s="1847"/>
      <c r="BC529" s="1847"/>
      <c r="BD529" s="1847"/>
      <c r="BE529" s="1847"/>
      <c r="BF529" s="1847"/>
      <c r="BG529" s="1847"/>
      <c r="BH529" s="1847"/>
      <c r="BI529" s="1521"/>
      <c r="BJ529" s="1503"/>
    </row>
    <row r="530" spans="1:62"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6252</v>
      </c>
      <c r="M530" s="674" t="s">
        <v>3865</v>
      </c>
      <c r="N530" s="674" t="s">
        <v>3626</v>
      </c>
      <c r="O530" s="505" t="s">
        <v>3936</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3487</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1551">
        <v>20.327221999999999</v>
      </c>
      <c r="AM530" s="1552">
        <v>103.480161</v>
      </c>
      <c r="AN530" s="563" t="s">
        <v>3936</v>
      </c>
      <c r="AO530" s="565"/>
      <c r="AP530" s="565"/>
      <c r="AQ530" s="507"/>
      <c r="AR530" s="507"/>
      <c r="AS530" s="1292"/>
      <c r="AT530" s="1849"/>
      <c r="AU530" s="1849"/>
      <c r="AV530" s="1849"/>
      <c r="AW530" s="1849"/>
      <c r="AX530" s="1849"/>
      <c r="AY530" s="1849"/>
      <c r="AZ530" s="1849"/>
      <c r="BA530" s="1849"/>
      <c r="BB530" s="1718"/>
      <c r="BC530" s="1718"/>
      <c r="BD530" s="1718"/>
      <c r="BE530" s="1718"/>
      <c r="BF530" s="1718"/>
      <c r="BG530" s="1718"/>
      <c r="BH530" s="1718"/>
      <c r="BI530" s="413"/>
      <c r="BJ530" s="12"/>
    </row>
    <row r="531" spans="1:62"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4748</v>
      </c>
      <c r="M531" s="674" t="s">
        <v>6298</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3486</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1551">
        <v>20.287732999999999</v>
      </c>
      <c r="AM531" s="1552">
        <v>103.416605</v>
      </c>
      <c r="AN531" s="565"/>
      <c r="AO531" s="565"/>
      <c r="AP531" s="565"/>
      <c r="AQ531" s="507"/>
      <c r="AR531" s="507"/>
      <c r="AS531" s="1292"/>
      <c r="AT531" s="1856">
        <f>124378.67*1.16</f>
        <v>144279.25719999999</v>
      </c>
      <c r="AU531" s="1856">
        <v>0</v>
      </c>
      <c r="AV531" s="1856">
        <f>50260.4*1.16</f>
        <v>58302.063999999998</v>
      </c>
      <c r="AW531" s="1856">
        <v>0</v>
      </c>
      <c r="AX531" s="1856">
        <v>0</v>
      </c>
      <c r="AY531" s="1856">
        <v>0</v>
      </c>
      <c r="AZ531" s="1856">
        <v>0</v>
      </c>
      <c r="BA531" s="1856">
        <v>0</v>
      </c>
      <c r="BB531" s="25">
        <v>0</v>
      </c>
      <c r="BC531" s="25">
        <v>0</v>
      </c>
      <c r="BD531" s="25">
        <v>0</v>
      </c>
      <c r="BE531" s="25">
        <v>0</v>
      </c>
      <c r="BF531" s="25">
        <v>0</v>
      </c>
      <c r="BG531" s="25">
        <v>0</v>
      </c>
      <c r="BH531" s="25">
        <v>0</v>
      </c>
      <c r="BI531" s="413"/>
      <c r="BJ531" s="12"/>
    </row>
    <row r="532" spans="1:62"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4762</v>
      </c>
      <c r="M532" s="674" t="s">
        <v>3866</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3486</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1551">
        <v>20.284606</v>
      </c>
      <c r="AM532" s="1552">
        <v>103.42886799999999</v>
      </c>
      <c r="AN532" s="565"/>
      <c r="AO532" s="565"/>
      <c r="AP532" s="565"/>
      <c r="AQ532" s="507"/>
      <c r="AR532" s="507"/>
      <c r="AS532" s="1292"/>
      <c r="AT532" s="1849"/>
      <c r="AU532" s="1849"/>
      <c r="AV532" s="1849"/>
      <c r="AW532" s="1849"/>
      <c r="AX532" s="1849"/>
      <c r="AY532" s="1849"/>
      <c r="AZ532" s="1849"/>
      <c r="BA532" s="1849"/>
      <c r="BB532" s="1718"/>
      <c r="BC532" s="1718"/>
      <c r="BD532" s="1718"/>
      <c r="BE532" s="1718"/>
      <c r="BF532" s="1718"/>
      <c r="BG532" s="1718"/>
      <c r="BH532" s="1718"/>
      <c r="BI532" s="413"/>
      <c r="BJ532" s="12"/>
    </row>
    <row r="533" spans="1:62"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6250</v>
      </c>
      <c r="M533" s="674" t="s">
        <v>3864</v>
      </c>
      <c r="N533" s="674" t="s">
        <v>2509</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4142</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1551">
        <v>20.356826000000002</v>
      </c>
      <c r="AM533" s="1552">
        <v>103.48700100000001</v>
      </c>
      <c r="AN533" s="565"/>
      <c r="AO533" s="565"/>
      <c r="AP533" s="565"/>
      <c r="AQ533" s="507"/>
      <c r="AR533" s="507"/>
      <c r="AS533" s="1292"/>
      <c r="AT533" s="1868">
        <f>P533*0.4</f>
        <v>106400</v>
      </c>
      <c r="AU533" s="1868"/>
      <c r="AV533" s="1868">
        <f>P533-AT533</f>
        <v>159600</v>
      </c>
      <c r="AW533" s="1868"/>
      <c r="AX533" s="1868"/>
      <c r="AY533" s="1868"/>
      <c r="AZ533" s="1868"/>
      <c r="BA533" s="1868"/>
      <c r="BB533" s="511">
        <f>331+168+230</f>
        <v>729</v>
      </c>
      <c r="BC533" s="511"/>
      <c r="BD533" s="511"/>
      <c r="BE533" s="511"/>
      <c r="BF533" s="511"/>
      <c r="BG533" s="511"/>
      <c r="BH533" s="1454"/>
      <c r="BI533" s="413"/>
      <c r="BJ533" s="12"/>
    </row>
    <row r="534" spans="1:62"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1549"/>
      <c r="AM534" s="1550"/>
      <c r="AN534" s="1533"/>
      <c r="AO534" s="1533"/>
      <c r="AP534" s="1533"/>
      <c r="AQ534" s="517"/>
      <c r="AR534" s="517"/>
      <c r="AS534" s="1529"/>
      <c r="AT534" s="1847"/>
      <c r="AU534" s="1847"/>
      <c r="AV534" s="1847"/>
      <c r="AW534" s="1847"/>
      <c r="AX534" s="1847"/>
      <c r="AY534" s="1847"/>
      <c r="AZ534" s="1847"/>
      <c r="BA534" s="1847"/>
      <c r="BB534" s="1847"/>
      <c r="BC534" s="1847"/>
      <c r="BD534" s="1847"/>
      <c r="BE534" s="1847"/>
      <c r="BF534" s="1847"/>
      <c r="BG534" s="1847"/>
      <c r="BH534" s="1847"/>
      <c r="BI534" s="1521"/>
      <c r="BJ534" s="1503"/>
    </row>
    <row r="535" spans="1:62"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4091</v>
      </c>
      <c r="N535" s="106" t="s">
        <v>2518</v>
      </c>
      <c r="O535" s="1530" t="s">
        <v>3937</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3924</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1585">
        <v>20.339117999999999</v>
      </c>
      <c r="AM535" s="1586">
        <v>103.37781699999999</v>
      </c>
      <c r="AN535" s="1533" t="s">
        <v>3937</v>
      </c>
      <c r="AO535" s="1533"/>
      <c r="AP535" s="1533"/>
      <c r="AQ535" s="517"/>
      <c r="AR535" s="517"/>
      <c r="AS535" s="1529"/>
      <c r="AT535" s="1847"/>
      <c r="AU535" s="1847"/>
      <c r="AV535" s="1847"/>
      <c r="AW535" s="1847"/>
      <c r="AX535" s="1847"/>
      <c r="AY535" s="1847"/>
      <c r="AZ535" s="1847"/>
      <c r="BA535" s="1847"/>
      <c r="BB535" s="1847"/>
      <c r="BC535" s="1847"/>
      <c r="BD535" s="1847"/>
      <c r="BE535" s="1847"/>
      <c r="BF535" s="1847"/>
      <c r="BG535" s="1847"/>
      <c r="BH535" s="1847"/>
      <c r="BI535" s="1521"/>
      <c r="BJ535" s="1503"/>
    </row>
    <row r="536" spans="1:62"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4750</v>
      </c>
      <c r="M536" s="674" t="s">
        <v>3954</v>
      </c>
      <c r="N536" s="674" t="s">
        <v>2515</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3927</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1551">
        <v>20.278479000000001</v>
      </c>
      <c r="AM536" s="1552">
        <v>103.435001</v>
      </c>
      <c r="AN536" s="565"/>
      <c r="AO536" s="565"/>
      <c r="AP536" s="565"/>
      <c r="AQ536" s="507"/>
      <c r="AR536" s="507"/>
      <c r="AS536" s="1292"/>
      <c r="AT536" s="1849"/>
      <c r="AU536" s="1849"/>
      <c r="AV536" s="1849"/>
      <c r="AW536" s="1849"/>
      <c r="AX536" s="1849"/>
      <c r="AY536" s="1849"/>
      <c r="AZ536" s="1849"/>
      <c r="BA536" s="1849"/>
      <c r="BB536" s="1718"/>
      <c r="BC536" s="1718"/>
      <c r="BD536" s="1718"/>
      <c r="BE536" s="1718"/>
      <c r="BF536" s="1718"/>
      <c r="BG536" s="1718"/>
      <c r="BH536" s="1718"/>
      <c r="BI536" s="413"/>
      <c r="BJ536" s="12"/>
    </row>
    <row r="537" spans="1:62"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3954</v>
      </c>
      <c r="N537" s="106" t="s">
        <v>2515</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3927</v>
      </c>
      <c r="Z537" s="1526" t="str">
        <f>OBRA!X535</f>
        <v>N/A</v>
      </c>
      <c r="AA537" s="146" t="s">
        <v>67</v>
      </c>
      <c r="AB537" s="1532" t="str">
        <f t="shared" si="34"/>
        <v>N/A</v>
      </c>
      <c r="AC537" s="1526" t="s">
        <v>1176</v>
      </c>
      <c r="AD537" s="1532" t="s">
        <v>1176</v>
      </c>
      <c r="AE537" s="1527" t="str">
        <f>OBRA!Y535</f>
        <v>DANIEL RODRIGUEZ</v>
      </c>
      <c r="AF537" s="834"/>
      <c r="AG537" s="187"/>
      <c r="AH537" s="1587" t="e">
        <f t="shared" si="33"/>
        <v>#DIV/0!</v>
      </c>
      <c r="AI537" s="187"/>
      <c r="AJ537" s="517"/>
      <c r="AK537" s="517"/>
      <c r="AL537" s="1585">
        <v>20.278479000000001</v>
      </c>
      <c r="AM537" s="1586">
        <v>103.435001</v>
      </c>
      <c r="AN537" s="1533"/>
      <c r="AO537" s="1533"/>
      <c r="AP537" s="1533"/>
      <c r="AQ537" s="517"/>
      <c r="AR537" s="517"/>
      <c r="AS537" s="1529"/>
      <c r="AT537" s="1847"/>
      <c r="AU537" s="1847"/>
      <c r="AV537" s="1847"/>
      <c r="AW537" s="1847"/>
      <c r="AX537" s="1847"/>
      <c r="AY537" s="1847"/>
      <c r="AZ537" s="1847"/>
      <c r="BA537" s="1847"/>
      <c r="BB537" s="1847"/>
      <c r="BC537" s="1847"/>
      <c r="BD537" s="1847"/>
      <c r="BE537" s="1847"/>
      <c r="BF537" s="1847"/>
      <c r="BG537" s="1847"/>
      <c r="BH537" s="1847"/>
      <c r="BI537" s="1521"/>
      <c r="BJ537" s="1503"/>
    </row>
    <row r="538" spans="1:62"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1549"/>
      <c r="AM538" s="1550"/>
      <c r="AN538" s="1533"/>
      <c r="AO538" s="1533"/>
      <c r="AP538" s="1533"/>
      <c r="AQ538" s="517"/>
      <c r="AR538" s="517"/>
      <c r="AS538" s="1529"/>
      <c r="AT538" s="1847"/>
      <c r="AU538" s="1847"/>
      <c r="AV538" s="1847"/>
      <c r="AW538" s="1847"/>
      <c r="AX538" s="1847"/>
      <c r="AY538" s="1847"/>
      <c r="AZ538" s="1847"/>
      <c r="BA538" s="1847"/>
      <c r="BB538" s="1847"/>
      <c r="BC538" s="1847"/>
      <c r="BD538" s="1847"/>
      <c r="BE538" s="1847"/>
      <c r="BF538" s="1847"/>
      <c r="BG538" s="1847"/>
      <c r="BH538" s="1847"/>
      <c r="BI538" s="1521"/>
      <c r="BJ538" s="1503"/>
    </row>
    <row r="539" spans="1:62"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6242</v>
      </c>
      <c r="M539" s="674" t="s">
        <v>3979</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4143</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1551">
        <v>20.285461999999999</v>
      </c>
      <c r="AM539" s="1552">
        <v>103.429884</v>
      </c>
      <c r="AN539" s="565"/>
      <c r="AO539" s="565"/>
      <c r="AP539" s="565"/>
      <c r="AQ539" s="507"/>
      <c r="AR539" s="507"/>
      <c r="AS539" s="1292"/>
      <c r="AT539" s="1856"/>
      <c r="AU539" s="1856"/>
      <c r="AV539" s="1856"/>
      <c r="AW539" s="1856"/>
      <c r="AX539" s="1856"/>
      <c r="AY539" s="1856"/>
      <c r="AZ539" s="1856"/>
      <c r="BA539" s="1856"/>
      <c r="BB539" s="25"/>
      <c r="BC539" s="25"/>
      <c r="BD539" s="25"/>
      <c r="BE539" s="25"/>
      <c r="BF539" s="25"/>
      <c r="BG539" s="25"/>
      <c r="BH539" s="25"/>
      <c r="BI539" s="413"/>
      <c r="BJ539" s="12"/>
    </row>
    <row r="540" spans="1:62"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1549"/>
      <c r="AM540" s="1550"/>
      <c r="AN540" s="1533"/>
      <c r="AO540" s="1533"/>
      <c r="AP540" s="1533"/>
      <c r="AQ540" s="517"/>
      <c r="AR540" s="517"/>
      <c r="AS540" s="1529"/>
      <c r="AT540" s="1847"/>
      <c r="AU540" s="1847"/>
      <c r="AV540" s="1847"/>
      <c r="AW540" s="1847"/>
      <c r="AX540" s="1847"/>
      <c r="AY540" s="1847"/>
      <c r="AZ540" s="1847"/>
      <c r="BA540" s="1847"/>
      <c r="BB540" s="1847"/>
      <c r="BC540" s="1847"/>
      <c r="BD540" s="1847"/>
      <c r="BE540" s="1847"/>
      <c r="BF540" s="1847"/>
      <c r="BG540" s="1847"/>
      <c r="BH540" s="1847"/>
      <c r="BI540" s="1521"/>
      <c r="BJ540" s="1503"/>
    </row>
    <row r="541" spans="1:62" ht="114.75" hidden="1" customHeight="1">
      <c r="A541" s="16">
        <f>OBRA!K539</f>
        <v>2021</v>
      </c>
      <c r="B541" s="781" t="s">
        <v>2094</v>
      </c>
      <c r="C541" s="781">
        <f>OBRA!L539</f>
        <v>212013</v>
      </c>
      <c r="D541" s="1588"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4755</v>
      </c>
      <c r="M541" s="674" t="s">
        <v>4088</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4144</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1551">
        <v>20.280659</v>
      </c>
      <c r="AM541" s="1552">
        <v>103.44593</v>
      </c>
      <c r="AN541" s="1339"/>
      <c r="AO541" s="1339"/>
      <c r="AP541" s="1339"/>
      <c r="AQ541" s="507"/>
      <c r="AR541" s="507"/>
      <c r="AS541" s="1292"/>
      <c r="AT541" s="1856"/>
      <c r="AU541" s="1856"/>
      <c r="AV541" s="1856"/>
      <c r="AW541" s="1856"/>
      <c r="AX541" s="1856"/>
      <c r="AY541" s="1856"/>
      <c r="AZ541" s="1856"/>
      <c r="BA541" s="1856"/>
      <c r="BB541" s="25"/>
      <c r="BC541" s="25"/>
      <c r="BD541" s="25"/>
      <c r="BE541" s="25"/>
      <c r="BF541" s="25"/>
      <c r="BG541" s="25"/>
      <c r="BH541" s="25"/>
      <c r="BI541" s="413"/>
      <c r="BJ541" s="12"/>
    </row>
    <row r="542" spans="1:62" ht="114.75" hidden="1" customHeight="1">
      <c r="A542" s="16">
        <f>OBRA!K540</f>
        <v>2021</v>
      </c>
      <c r="B542" s="1444" t="s">
        <v>2094</v>
      </c>
      <c r="C542" s="781">
        <f>OBRA!L540</f>
        <v>212014</v>
      </c>
      <c r="D542" s="1593"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4755</v>
      </c>
      <c r="M542" s="674" t="s">
        <v>4092</v>
      </c>
      <c r="N542" s="674" t="s">
        <v>2541</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4145</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1551">
        <v>20.289618999999998</v>
      </c>
      <c r="AM542" s="1552">
        <v>103.41275899999999</v>
      </c>
      <c r="AN542" s="1339"/>
      <c r="AO542" s="1339"/>
      <c r="AP542" s="1339"/>
      <c r="AQ542" s="507"/>
      <c r="AR542" s="507"/>
      <c r="AS542" s="1292"/>
      <c r="AT542" s="1856"/>
      <c r="AU542" s="1856"/>
      <c r="AV542" s="1856"/>
      <c r="AW542" s="1856"/>
      <c r="AX542" s="1856"/>
      <c r="AY542" s="1856"/>
      <c r="AZ542" s="1856"/>
      <c r="BA542" s="1856"/>
      <c r="BB542" s="25"/>
      <c r="BC542" s="25"/>
      <c r="BD542" s="25"/>
      <c r="BE542" s="25"/>
      <c r="BF542" s="25"/>
      <c r="BG542" s="25"/>
      <c r="BH542" s="25"/>
      <c r="BI542" s="413"/>
      <c r="BJ542" s="12"/>
    </row>
    <row r="543" spans="1:62" ht="114.75" hidden="1" customHeight="1">
      <c r="A543" s="16">
        <f>OBRA!K541</f>
        <v>2021</v>
      </c>
      <c r="B543" s="1444" t="s">
        <v>2094</v>
      </c>
      <c r="C543" s="781">
        <f>OBRA!L541</f>
        <v>212015</v>
      </c>
      <c r="D543" s="1593"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4755</v>
      </c>
      <c r="M543" s="674" t="s">
        <v>4093</v>
      </c>
      <c r="N543" s="674" t="s">
        <v>2515</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4146</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1551" t="s">
        <v>67</v>
      </c>
      <c r="AM543" s="1552" t="s">
        <v>67</v>
      </c>
      <c r="AN543" s="1339"/>
      <c r="AO543" s="1339"/>
      <c r="AP543" s="1339"/>
      <c r="AQ543" s="507"/>
      <c r="AR543" s="507"/>
      <c r="AS543" s="1292"/>
      <c r="AT543" s="1856"/>
      <c r="AU543" s="1856"/>
      <c r="AV543" s="1856"/>
      <c r="AW543" s="1856"/>
      <c r="AX543" s="1856"/>
      <c r="AY543" s="1856"/>
      <c r="AZ543" s="1856"/>
      <c r="BA543" s="1856"/>
      <c r="BB543" s="25"/>
      <c r="BC543" s="25"/>
      <c r="BD543" s="25"/>
      <c r="BE543" s="25"/>
      <c r="BF543" s="25"/>
      <c r="BG543" s="25"/>
      <c r="BH543" s="25"/>
      <c r="BI543" s="413"/>
      <c r="BJ543" s="12"/>
    </row>
    <row r="544" spans="1:62" ht="114.75" hidden="1" customHeight="1">
      <c r="A544" s="16">
        <f>OBRA!K542</f>
        <v>2021</v>
      </c>
      <c r="B544" s="1444" t="s">
        <v>2094</v>
      </c>
      <c r="C544" s="781">
        <f>OBRA!L542</f>
        <v>212016</v>
      </c>
      <c r="D544" s="1593"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4755</v>
      </c>
      <c r="M544" s="674" t="s">
        <v>4094</v>
      </c>
      <c r="N544" s="674" t="s">
        <v>2527</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4146</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1551" t="s">
        <v>67</v>
      </c>
      <c r="AM544" s="1552" t="s">
        <v>67</v>
      </c>
      <c r="AN544" s="1339"/>
      <c r="AO544" s="1339"/>
      <c r="AP544" s="1339"/>
      <c r="AQ544" s="507"/>
      <c r="AR544" s="507"/>
      <c r="AS544" s="1292"/>
      <c r="AT544" s="1856"/>
      <c r="AU544" s="1856"/>
      <c r="AV544" s="1856"/>
      <c r="AW544" s="1856"/>
      <c r="AX544" s="1856"/>
      <c r="AY544" s="1856"/>
      <c r="AZ544" s="1856"/>
      <c r="BA544" s="1856"/>
      <c r="BB544" s="25"/>
      <c r="BC544" s="25"/>
      <c r="BD544" s="25"/>
      <c r="BE544" s="25"/>
      <c r="BF544" s="25"/>
      <c r="BG544" s="25"/>
      <c r="BH544" s="25"/>
      <c r="BI544" s="413"/>
      <c r="BJ544" s="12"/>
    </row>
    <row r="545" spans="1:62" ht="114.75" hidden="1" customHeight="1">
      <c r="A545" s="16">
        <f>OBRA!K543</f>
        <v>2021</v>
      </c>
      <c r="B545" s="1444" t="s">
        <v>2094</v>
      </c>
      <c r="C545" s="781">
        <f>OBRA!L543</f>
        <v>212017</v>
      </c>
      <c r="D545" s="1593"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4755</v>
      </c>
      <c r="M545" s="674" t="s">
        <v>4095</v>
      </c>
      <c r="N545" s="674" t="s">
        <v>2580</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4146</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1551" t="s">
        <v>67</v>
      </c>
      <c r="AM545" s="1552" t="s">
        <v>67</v>
      </c>
      <c r="AN545" s="1339"/>
      <c r="AO545" s="1339"/>
      <c r="AP545" s="1339"/>
      <c r="AQ545" s="507"/>
      <c r="AR545" s="507"/>
      <c r="AS545" s="1292"/>
      <c r="AT545" s="1856"/>
      <c r="AU545" s="1856"/>
      <c r="AV545" s="1856"/>
      <c r="AW545" s="1856"/>
      <c r="AX545" s="1856"/>
      <c r="AY545" s="1856"/>
      <c r="AZ545" s="1856"/>
      <c r="BA545" s="1856"/>
      <c r="BB545" s="25"/>
      <c r="BC545" s="25"/>
      <c r="BD545" s="25"/>
      <c r="BE545" s="25"/>
      <c r="BF545" s="25"/>
      <c r="BG545" s="25"/>
      <c r="BH545" s="25"/>
      <c r="BI545" s="413"/>
      <c r="BJ545" s="12"/>
    </row>
    <row r="546" spans="1:62" ht="114.75" hidden="1" customHeight="1">
      <c r="A546" s="16">
        <f>OBRA!K544</f>
        <v>2021</v>
      </c>
      <c r="B546" s="1444" t="s">
        <v>2094</v>
      </c>
      <c r="C546" s="781">
        <f>OBRA!L544</f>
        <v>212018</v>
      </c>
      <c r="D546" s="1593"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4755</v>
      </c>
      <c r="M546" s="674" t="s">
        <v>4096</v>
      </c>
      <c r="N546" s="674" t="s">
        <v>2666</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4146</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1551">
        <v>20.388923999999999</v>
      </c>
      <c r="AM546" s="1552">
        <v>103.53686999999999</v>
      </c>
      <c r="AN546" s="1339"/>
      <c r="AO546" s="1339"/>
      <c r="AP546" s="1339"/>
      <c r="AQ546" s="507"/>
      <c r="AR546" s="507"/>
      <c r="AS546" s="1292"/>
      <c r="AT546" s="1856"/>
      <c r="AU546" s="1856"/>
      <c r="AV546" s="1856"/>
      <c r="AW546" s="1856"/>
      <c r="AX546" s="1856"/>
      <c r="AY546" s="1856"/>
      <c r="AZ546" s="1856"/>
      <c r="BA546" s="1856"/>
      <c r="BB546" s="25"/>
      <c r="BC546" s="25"/>
      <c r="BD546" s="25"/>
      <c r="BE546" s="25"/>
      <c r="BF546" s="25"/>
      <c r="BG546" s="25"/>
      <c r="BH546" s="25"/>
      <c r="BI546" s="413"/>
      <c r="BJ546" s="12"/>
    </row>
    <row r="547" spans="1:62" ht="114.75" hidden="1" customHeight="1">
      <c r="A547" s="16">
        <f>OBRA!K545</f>
        <v>2021</v>
      </c>
      <c r="B547" s="1444" t="s">
        <v>2094</v>
      </c>
      <c r="C547" s="781">
        <f>OBRA!L545</f>
        <v>212019</v>
      </c>
      <c r="D547" s="1593"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4755</v>
      </c>
      <c r="M547" s="674" t="s">
        <v>4097</v>
      </c>
      <c r="N547" s="674" t="s">
        <v>2518</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4146</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1551">
        <v>20.339117999999999</v>
      </c>
      <c r="AM547" s="1552">
        <v>103.37781699999999</v>
      </c>
      <c r="AN547" s="1339"/>
      <c r="AO547" s="1339"/>
      <c r="AP547" s="1339"/>
      <c r="AQ547" s="507"/>
      <c r="AR547" s="507"/>
      <c r="AS547" s="1292"/>
      <c r="AT547" s="1856"/>
      <c r="AU547" s="1856"/>
      <c r="AV547" s="1856"/>
      <c r="AW547" s="1856"/>
      <c r="AX547" s="1856"/>
      <c r="AY547" s="1856"/>
      <c r="AZ547" s="1856"/>
      <c r="BA547" s="1856"/>
      <c r="BB547" s="25"/>
      <c r="BC547" s="25"/>
      <c r="BD547" s="25"/>
      <c r="BE547" s="25"/>
      <c r="BF547" s="25"/>
      <c r="BG547" s="25"/>
      <c r="BH547" s="25"/>
      <c r="BI547" s="413"/>
      <c r="BJ547" s="12"/>
    </row>
    <row r="548" spans="1:62" s="1072" customFormat="1" ht="114.75" hidden="1" customHeight="1">
      <c r="A548" s="535">
        <f>OBRA!K546</f>
        <v>2021</v>
      </c>
      <c r="B548" s="1520" t="s">
        <v>2094</v>
      </c>
      <c r="C548" s="781">
        <f>OBRA!L546</f>
        <v>212020</v>
      </c>
      <c r="D548" s="1589"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1549"/>
      <c r="AM548" s="1550"/>
      <c r="AN548" s="1528"/>
      <c r="AO548" s="1528"/>
      <c r="AP548" s="1528"/>
      <c r="AQ548" s="517"/>
      <c r="AR548" s="517"/>
      <c r="AS548" s="1529"/>
      <c r="AT548" s="1847"/>
      <c r="AU548" s="1847"/>
      <c r="AV548" s="1847"/>
      <c r="AW548" s="1847"/>
      <c r="AX548" s="1847"/>
      <c r="AY548" s="1847"/>
      <c r="AZ548" s="1847"/>
      <c r="BA548" s="1847"/>
      <c r="BB548" s="1847"/>
      <c r="BC548" s="1847"/>
      <c r="BD548" s="1847"/>
      <c r="BE548" s="1847"/>
      <c r="BF548" s="1847"/>
      <c r="BG548" s="1847"/>
      <c r="BH548" s="1847"/>
      <c r="BI548" s="1521"/>
      <c r="BJ548" s="1503"/>
    </row>
    <row r="549" spans="1:62" ht="101.25" hidden="1" customHeight="1">
      <c r="A549" s="16">
        <f>OBRA!K547</f>
        <v>2021</v>
      </c>
      <c r="B549" s="1444" t="s">
        <v>2094</v>
      </c>
      <c r="C549" s="781">
        <f>OBRA!L547</f>
        <v>213001</v>
      </c>
      <c r="D549" s="1593" t="s">
        <v>550</v>
      </c>
      <c r="E549" s="413" t="str">
        <f>OBRA!N547</f>
        <v>CUENTA CORRIENTE</v>
      </c>
      <c r="F549" s="18" t="s">
        <v>1427</v>
      </c>
      <c r="G549" s="156" t="s">
        <v>2864</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3824</v>
      </c>
      <c r="L549" s="3"/>
      <c r="M549" s="3" t="s">
        <v>3766</v>
      </c>
      <c r="N549" s="3" t="s">
        <v>2578</v>
      </c>
      <c r="O549" s="505" t="s">
        <v>3820</v>
      </c>
      <c r="P549" s="4">
        <f>OBRA!S547</f>
        <v>45000</v>
      </c>
      <c r="Q549" s="1045">
        <f t="shared" si="32"/>
        <v>38793.103448275862</v>
      </c>
      <c r="R549" s="4" t="s">
        <v>3957</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5668</v>
      </c>
      <c r="AB549" s="2" t="str">
        <f t="shared" ref="AB549:AB554" si="37">Z549</f>
        <v>URIEL PALOS CUEVAS</v>
      </c>
      <c r="AC549" s="2" t="s">
        <v>4497</v>
      </c>
      <c r="AD549" s="2" t="s">
        <v>4498</v>
      </c>
      <c r="AE549" s="184" t="str">
        <f>OBRA!Y547</f>
        <v>DANIEL RODRIGUEZ</v>
      </c>
      <c r="AF549" s="19">
        <v>1</v>
      </c>
      <c r="AG549" s="2" t="s">
        <v>6778</v>
      </c>
      <c r="AH549" s="184">
        <f>P549/AF549</f>
        <v>45000</v>
      </c>
      <c r="AI549" s="511"/>
      <c r="AJ549" s="507"/>
      <c r="AK549" s="1991">
        <v>1</v>
      </c>
      <c r="AL549" s="626"/>
      <c r="AM549" s="1546"/>
      <c r="AN549" s="1339"/>
      <c r="AO549" s="1339"/>
      <c r="AP549" s="1339"/>
      <c r="AQ549" s="514" t="s">
        <v>67</v>
      </c>
      <c r="AR549" s="514"/>
      <c r="AS549" s="124" t="s">
        <v>67</v>
      </c>
      <c r="AT549" s="25"/>
      <c r="AU549" s="25"/>
      <c r="AV549" s="25"/>
      <c r="AW549" s="25"/>
      <c r="AX549" s="25"/>
      <c r="AY549" s="25"/>
      <c r="AZ549" s="25"/>
      <c r="BA549" s="25"/>
      <c r="BB549" s="25"/>
      <c r="BC549" s="25"/>
      <c r="BD549" s="25"/>
      <c r="BE549" s="25"/>
      <c r="BF549" s="25"/>
      <c r="BG549" s="25"/>
      <c r="BH549" s="25"/>
      <c r="BI549" s="413"/>
      <c r="BJ549" s="12"/>
    </row>
    <row r="550" spans="1:62" ht="98.25" hidden="1" customHeight="1">
      <c r="A550" s="16">
        <f>OBRA!K548</f>
        <v>2021</v>
      </c>
      <c r="B550" s="1444" t="s">
        <v>2094</v>
      </c>
      <c r="C550" s="781">
        <f>OBRA!L548</f>
        <v>213002</v>
      </c>
      <c r="D550" s="1593" t="s">
        <v>550</v>
      </c>
      <c r="E550" s="413" t="str">
        <f>OBRA!N548</f>
        <v>CUENTA CORRIENTE</v>
      </c>
      <c r="F550" s="18" t="s">
        <v>1427</v>
      </c>
      <c r="G550" s="156" t="s">
        <v>2864</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5625</v>
      </c>
      <c r="L550" s="3"/>
      <c r="M550" s="3" t="s">
        <v>3766</v>
      </c>
      <c r="N550" s="3" t="s">
        <v>2578</v>
      </c>
      <c r="O550" s="505" t="s">
        <v>3820</v>
      </c>
      <c r="P550" s="4">
        <f>OBRA!S548</f>
        <v>64960</v>
      </c>
      <c r="Q550" s="1045">
        <f t="shared" si="32"/>
        <v>56000.000000000007</v>
      </c>
      <c r="R550" s="4" t="s">
        <v>3957</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5669</v>
      </c>
      <c r="AB550" s="2" t="str">
        <f t="shared" si="37"/>
        <v>GRUPO ARANGE, S.A. DE C.V.</v>
      </c>
      <c r="AC550" s="2" t="s">
        <v>2886</v>
      </c>
      <c r="AD550" s="146" t="s">
        <v>4499</v>
      </c>
      <c r="AE550" s="184" t="str">
        <f>OBRA!Y548</f>
        <v>DANIEL RODRIGUEZ</v>
      </c>
      <c r="AF550" s="19">
        <v>1</v>
      </c>
      <c r="AG550" s="2" t="s">
        <v>6778</v>
      </c>
      <c r="AH550" s="184">
        <f t="shared" ref="AH550:AH566" si="38">P550/AF550</f>
        <v>64960</v>
      </c>
      <c r="AI550" s="511"/>
      <c r="AJ550" s="507"/>
      <c r="AK550" s="1991">
        <v>1</v>
      </c>
      <c r="AL550" s="626"/>
      <c r="AM550" s="1546"/>
      <c r="AN550" s="1339"/>
      <c r="AO550" s="1339"/>
      <c r="AP550" s="1339"/>
      <c r="AQ550" s="514" t="s">
        <v>67</v>
      </c>
      <c r="AR550" s="514"/>
      <c r="AS550" s="124" t="s">
        <v>67</v>
      </c>
      <c r="AT550" s="25"/>
      <c r="AU550" s="25"/>
      <c r="AV550" s="25"/>
      <c r="AW550" s="25"/>
      <c r="AX550" s="25"/>
      <c r="AY550" s="25"/>
      <c r="AZ550" s="25"/>
      <c r="BA550" s="25"/>
      <c r="BB550" s="25"/>
      <c r="BC550" s="25"/>
      <c r="BD550" s="25"/>
      <c r="BE550" s="25"/>
      <c r="BF550" s="25"/>
      <c r="BG550" s="25"/>
      <c r="BH550" s="25"/>
      <c r="BI550" s="413"/>
      <c r="BJ550" s="12"/>
    </row>
    <row r="551" spans="1:62" s="1072" customFormat="1" ht="36" hidden="1" customHeight="1">
      <c r="A551" s="535">
        <f>OBRA!K549</f>
        <v>2021</v>
      </c>
      <c r="B551" s="1520" t="s">
        <v>2094</v>
      </c>
      <c r="C551" s="781">
        <f>OBRA!L549</f>
        <v>213003</v>
      </c>
      <c r="D551" s="1589" t="s">
        <v>550</v>
      </c>
      <c r="E551" s="187" t="str">
        <f>OBRA!N549</f>
        <v>CUENTA CORRIENTE</v>
      </c>
      <c r="F551" s="1494" t="s">
        <v>1427</v>
      </c>
      <c r="G551" s="569" t="s">
        <v>2864</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5669</v>
      </c>
      <c r="AB551" s="187">
        <f t="shared" si="37"/>
        <v>0</v>
      </c>
      <c r="AC551" s="187"/>
      <c r="AD551" s="1526"/>
      <c r="AE551" s="1527">
        <f>OBRA!Y549</f>
        <v>0</v>
      </c>
      <c r="AF551" s="834"/>
      <c r="AG551" s="187"/>
      <c r="AH551" s="554" t="e">
        <f t="shared" si="38"/>
        <v>#DIV/0!</v>
      </c>
      <c r="AI551" s="187"/>
      <c r="AJ551" s="517"/>
      <c r="AK551" s="517"/>
      <c r="AL551" s="1549"/>
      <c r="AM551" s="1550"/>
      <c r="AN551" s="1528"/>
      <c r="AO551" s="1528"/>
      <c r="AP551" s="1528"/>
      <c r="AQ551" s="517" t="s">
        <v>67</v>
      </c>
      <c r="AR551" s="517"/>
      <c r="AS551" s="1529" t="s">
        <v>67</v>
      </c>
      <c r="AT551" s="1847"/>
      <c r="AU551" s="1847"/>
      <c r="AV551" s="1847"/>
      <c r="AW551" s="1847"/>
      <c r="AX551" s="1847"/>
      <c r="AY551" s="1847"/>
      <c r="AZ551" s="1847"/>
      <c r="BA551" s="1847"/>
      <c r="BB551" s="1847"/>
      <c r="BC551" s="1847"/>
      <c r="BD551" s="1847"/>
      <c r="BE551" s="1847"/>
      <c r="BF551" s="1847"/>
      <c r="BG551" s="1847"/>
      <c r="BH551" s="1847"/>
      <c r="BI551" s="1521"/>
      <c r="BJ551" s="1503"/>
    </row>
    <row r="552" spans="1:62" ht="90" hidden="1" customHeight="1">
      <c r="A552" s="16">
        <f>OBRA!K550</f>
        <v>2021</v>
      </c>
      <c r="B552" s="1444" t="s">
        <v>2094</v>
      </c>
      <c r="C552" s="781">
        <f>OBRA!L550</f>
        <v>213004</v>
      </c>
      <c r="D552" s="1593" t="s">
        <v>550</v>
      </c>
      <c r="E552" s="413" t="str">
        <f>OBRA!N550</f>
        <v>CUENTA CORRIENTE</v>
      </c>
      <c r="F552" s="18" t="s">
        <v>1427</v>
      </c>
      <c r="G552" s="156" t="s">
        <v>2864</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3825</v>
      </c>
      <c r="L552" s="3"/>
      <c r="M552" s="3" t="s">
        <v>3826</v>
      </c>
      <c r="N552" s="3" t="s">
        <v>2509</v>
      </c>
      <c r="O552" s="505" t="s">
        <v>3820</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5668</v>
      </c>
      <c r="AB552" s="2" t="str">
        <f t="shared" si="37"/>
        <v>ING. SERGIO CABRERA</v>
      </c>
      <c r="AC552" s="2" t="s">
        <v>2962</v>
      </c>
      <c r="AD552" s="146" t="s">
        <v>2962</v>
      </c>
      <c r="AE552" s="184" t="str">
        <f>OBRA!Y550</f>
        <v>LIC. SALVADOR CONTRERAS OLGUÍN</v>
      </c>
      <c r="AF552" s="19">
        <v>1</v>
      </c>
      <c r="AG552" s="2" t="s">
        <v>6778</v>
      </c>
      <c r="AH552" s="184">
        <f t="shared" si="38"/>
        <v>580</v>
      </c>
      <c r="AI552" s="511"/>
      <c r="AJ552" s="507"/>
      <c r="AK552" s="1991">
        <v>1</v>
      </c>
      <c r="AL552" s="626"/>
      <c r="AM552" s="1546"/>
      <c r="AN552" s="1339"/>
      <c r="AO552" s="1339"/>
      <c r="AP552" s="1339"/>
      <c r="AQ552" s="514" t="s">
        <v>67</v>
      </c>
      <c r="AR552" s="514"/>
      <c r="AS552" s="124" t="s">
        <v>67</v>
      </c>
      <c r="AT552" s="25"/>
      <c r="AU552" s="25"/>
      <c r="AV552" s="25"/>
      <c r="AW552" s="25"/>
      <c r="AX552" s="25"/>
      <c r="AY552" s="25"/>
      <c r="AZ552" s="25"/>
      <c r="BA552" s="25"/>
      <c r="BB552" s="25"/>
      <c r="BC552" s="25"/>
      <c r="BD552" s="25"/>
      <c r="BE552" s="25"/>
      <c r="BF552" s="25"/>
      <c r="BG552" s="25"/>
      <c r="BH552" s="25"/>
      <c r="BI552" s="413"/>
      <c r="BJ552" s="12"/>
    </row>
    <row r="553" spans="1:62" ht="105" hidden="1" customHeight="1">
      <c r="A553" s="16">
        <f>OBRA!K551</f>
        <v>2021</v>
      </c>
      <c r="B553" s="1444" t="s">
        <v>2094</v>
      </c>
      <c r="C553" s="781">
        <f>OBRA!L551</f>
        <v>213005</v>
      </c>
      <c r="D553" s="1593" t="s">
        <v>550</v>
      </c>
      <c r="E553" s="413" t="str">
        <f>OBRA!N551</f>
        <v>CUENTA CORRIENTE</v>
      </c>
      <c r="F553" s="18" t="s">
        <v>1427</v>
      </c>
      <c r="G553" s="156" t="s">
        <v>2864</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5627</v>
      </c>
      <c r="L553" s="3"/>
      <c r="M553" s="3" t="s">
        <v>3826</v>
      </c>
      <c r="N553" s="3" t="s">
        <v>2509</v>
      </c>
      <c r="O553" s="505" t="s">
        <v>3820</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5668</v>
      </c>
      <c r="AB553" s="2" t="str">
        <f t="shared" si="37"/>
        <v>ING. SERGIO CABRERA</v>
      </c>
      <c r="AC553" s="2" t="s">
        <v>2962</v>
      </c>
      <c r="AD553" s="146" t="s">
        <v>2962</v>
      </c>
      <c r="AE553" s="184" t="str">
        <f>OBRA!Y551</f>
        <v>LIC. SALVADOR CONTRERAS OLGUÍN</v>
      </c>
      <c r="AF553" s="19">
        <v>1</v>
      </c>
      <c r="AG553" s="2" t="s">
        <v>6778</v>
      </c>
      <c r="AH553" s="184">
        <f t="shared" si="38"/>
        <v>696</v>
      </c>
      <c r="AI553" s="511"/>
      <c r="AJ553" s="507"/>
      <c r="AK553" s="1991">
        <v>1</v>
      </c>
      <c r="AL553" s="626"/>
      <c r="AM553" s="1546"/>
      <c r="AN553" s="1339"/>
      <c r="AO553" s="1339"/>
      <c r="AP553" s="1339"/>
      <c r="AQ553" s="514" t="s">
        <v>67</v>
      </c>
      <c r="AR553" s="514"/>
      <c r="AS553" s="124" t="s">
        <v>67</v>
      </c>
      <c r="AT553" s="25"/>
      <c r="AU553" s="25"/>
      <c r="AV553" s="25"/>
      <c r="AW553" s="25"/>
      <c r="AX553" s="25"/>
      <c r="AY553" s="25"/>
      <c r="AZ553" s="25"/>
      <c r="BA553" s="25"/>
      <c r="BB553" s="25"/>
      <c r="BC553" s="25"/>
      <c r="BD553" s="25"/>
      <c r="BE553" s="25"/>
      <c r="BF553" s="25"/>
      <c r="BG553" s="25"/>
      <c r="BH553" s="25"/>
      <c r="BI553" s="413"/>
      <c r="BJ553" s="12"/>
    </row>
    <row r="554" spans="1:62" ht="95.25" hidden="1" customHeight="1">
      <c r="A554" s="16">
        <f>OBRA!K552</f>
        <v>2021</v>
      </c>
      <c r="B554" s="1444" t="s">
        <v>2094</v>
      </c>
      <c r="C554" s="781">
        <f>OBRA!L552</f>
        <v>213006</v>
      </c>
      <c r="D554" s="1593" t="s">
        <v>550</v>
      </c>
      <c r="E554" s="413" t="str">
        <f>OBRA!N552</f>
        <v>CUENTA CORRIENTE</v>
      </c>
      <c r="F554" s="18" t="s">
        <v>1427</v>
      </c>
      <c r="G554" s="156" t="s">
        <v>2864</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5626</v>
      </c>
      <c r="L554" s="3"/>
      <c r="M554" s="3" t="s">
        <v>3766</v>
      </c>
      <c r="N554" s="3" t="s">
        <v>2578</v>
      </c>
      <c r="O554" s="505" t="s">
        <v>3820</v>
      </c>
      <c r="P554" s="63">
        <f>OBRA!S552</f>
        <v>23200</v>
      </c>
      <c r="Q554" s="1045">
        <f t="shared" si="32"/>
        <v>20000</v>
      </c>
      <c r="R554" s="4" t="s">
        <v>3957</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5668</v>
      </c>
      <c r="AB554" s="2" t="str">
        <f t="shared" si="37"/>
        <v xml:space="preserve">SEBASTIAN MARQUEZ RAMOS </v>
      </c>
      <c r="AC554" s="2" t="s">
        <v>2962</v>
      </c>
      <c r="AD554" s="146" t="s">
        <v>2962</v>
      </c>
      <c r="AE554" s="184" t="str">
        <f>OBRA!Y552</f>
        <v>DANIEL RODRIGUEZ</v>
      </c>
      <c r="AF554" s="19">
        <v>1</v>
      </c>
      <c r="AG554" s="2" t="s">
        <v>6778</v>
      </c>
      <c r="AH554" s="184">
        <f t="shared" si="38"/>
        <v>23200</v>
      </c>
      <c r="AI554" s="511"/>
      <c r="AJ554" s="507"/>
      <c r="AK554" s="1991">
        <v>1</v>
      </c>
      <c r="AL554" s="626"/>
      <c r="AM554" s="1546"/>
      <c r="AN554" s="1339"/>
      <c r="AO554" s="1339"/>
      <c r="AP554" s="1339"/>
      <c r="AQ554" s="514" t="s">
        <v>67</v>
      </c>
      <c r="AR554" s="514"/>
      <c r="AS554" s="124" t="s">
        <v>67</v>
      </c>
      <c r="AT554" s="25"/>
      <c r="AU554" s="25"/>
      <c r="AV554" s="25"/>
      <c r="AW554" s="25"/>
      <c r="AX554" s="25"/>
      <c r="AY554" s="25"/>
      <c r="AZ554" s="25"/>
      <c r="BA554" s="25"/>
      <c r="BB554" s="25"/>
      <c r="BC554" s="25"/>
      <c r="BD554" s="25"/>
      <c r="BE554" s="25"/>
      <c r="BF554" s="25"/>
      <c r="BG554" s="25"/>
      <c r="BH554" s="25"/>
      <c r="BI554" s="413"/>
      <c r="BJ554" s="12"/>
    </row>
    <row r="555" spans="1:62" ht="94.5" hidden="1" customHeight="1">
      <c r="A555" s="16">
        <f>OBRA!K553</f>
        <v>2021</v>
      </c>
      <c r="B555" s="1444" t="s">
        <v>2094</v>
      </c>
      <c r="C555" s="781">
        <f>OBRA!L553</f>
        <v>213007</v>
      </c>
      <c r="D555" s="1593" t="s">
        <v>550</v>
      </c>
      <c r="E555" s="413" t="str">
        <f>OBRA!N553</f>
        <v>CUENTA CORRIENTE</v>
      </c>
      <c r="F555" s="18" t="s">
        <v>1427</v>
      </c>
      <c r="G555" s="156" t="s">
        <v>2864</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5626</v>
      </c>
      <c r="L555" s="3"/>
      <c r="M555" s="3" t="s">
        <v>3766</v>
      </c>
      <c r="N555" s="3" t="s">
        <v>2578</v>
      </c>
      <c r="O555" s="505" t="s">
        <v>3820</v>
      </c>
      <c r="P555" s="63">
        <f>OBRA!S553</f>
        <v>23200</v>
      </c>
      <c r="Q555" s="1045">
        <f t="shared" si="32"/>
        <v>20000</v>
      </c>
      <c r="R555" s="4" t="s">
        <v>3957</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5669</v>
      </c>
      <c r="AB555" s="2" t="s">
        <v>2905</v>
      </c>
      <c r="AC555" s="2" t="s">
        <v>2886</v>
      </c>
      <c r="AD555" s="146" t="s">
        <v>4499</v>
      </c>
      <c r="AE555" s="184" t="str">
        <f>OBRA!Y553</f>
        <v>DANIEL RODRIGUEZ</v>
      </c>
      <c r="AF555" s="19">
        <v>1</v>
      </c>
      <c r="AG555" s="2" t="s">
        <v>6778</v>
      </c>
      <c r="AH555" s="184">
        <f t="shared" si="38"/>
        <v>23200</v>
      </c>
      <c r="AI555" s="511"/>
      <c r="AJ555" s="507"/>
      <c r="AK555" s="1991">
        <v>1</v>
      </c>
      <c r="AL555" s="626"/>
      <c r="AM555" s="1546"/>
      <c r="AN555" s="1339"/>
      <c r="AO555" s="1339"/>
      <c r="AP555" s="1339"/>
      <c r="AQ555" s="514" t="s">
        <v>67</v>
      </c>
      <c r="AR555" s="514"/>
      <c r="AS555" s="124" t="s">
        <v>67</v>
      </c>
      <c r="AT555" s="25"/>
      <c r="AU555" s="25"/>
      <c r="AV555" s="25"/>
      <c r="AW555" s="25"/>
      <c r="AX555" s="25"/>
      <c r="AY555" s="25"/>
      <c r="AZ555" s="25"/>
      <c r="BA555" s="25"/>
      <c r="BB555" s="25"/>
      <c r="BC555" s="25"/>
      <c r="BD555" s="25"/>
      <c r="BE555" s="25"/>
      <c r="BF555" s="25"/>
      <c r="BG555" s="25"/>
      <c r="BH555" s="25"/>
      <c r="BI555" s="413"/>
      <c r="BJ555" s="12"/>
    </row>
    <row r="556" spans="1:62" ht="114.75" hidden="1" customHeight="1">
      <c r="A556" s="16">
        <f>OBRA!K554</f>
        <v>2021</v>
      </c>
      <c r="B556" s="1444" t="s">
        <v>2094</v>
      </c>
      <c r="C556" s="781">
        <f>OBRA!L554</f>
        <v>213008</v>
      </c>
      <c r="D556" s="1593" t="s">
        <v>550</v>
      </c>
      <c r="E556" s="413" t="str">
        <f>OBRA!N554</f>
        <v>CUENTA CORRIENTE</v>
      </c>
      <c r="F556" s="18" t="s">
        <v>1427</v>
      </c>
      <c r="G556" s="156" t="s">
        <v>2864</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5622</v>
      </c>
      <c r="L556" s="3"/>
      <c r="M556" s="674" t="s">
        <v>3954</v>
      </c>
      <c r="N556" s="674" t="s">
        <v>2515</v>
      </c>
      <c r="O556" s="505" t="s">
        <v>3820</v>
      </c>
      <c r="P556" s="63">
        <f>OBRA!S554</f>
        <v>4686.3999999999996</v>
      </c>
      <c r="Q556" s="1045">
        <f t="shared" si="32"/>
        <v>4040</v>
      </c>
      <c r="R556" s="4" t="s">
        <v>5594</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5669</v>
      </c>
      <c r="AB556" s="2" t="s">
        <v>3951</v>
      </c>
      <c r="AC556" s="2" t="s">
        <v>3952</v>
      </c>
      <c r="AD556" s="146" t="s">
        <v>4500</v>
      </c>
      <c r="AE556" s="184" t="str">
        <f>OBRA!Y554</f>
        <v>DANIEL RODRIGUEZ</v>
      </c>
      <c r="AF556" s="19">
        <v>1</v>
      </c>
      <c r="AG556" s="2" t="s">
        <v>6778</v>
      </c>
      <c r="AH556" s="184">
        <f t="shared" si="38"/>
        <v>4686.3999999999996</v>
      </c>
      <c r="AI556" s="511"/>
      <c r="AJ556" s="507"/>
      <c r="AK556" s="1991">
        <v>1</v>
      </c>
      <c r="AL556" s="626"/>
      <c r="AM556" s="1546"/>
      <c r="AN556" s="1339"/>
      <c r="AO556" s="1339"/>
      <c r="AP556" s="1339"/>
      <c r="AQ556" s="514" t="s">
        <v>67</v>
      </c>
      <c r="AR556" s="514"/>
      <c r="AS556" s="124" t="s">
        <v>67</v>
      </c>
      <c r="AT556" s="25"/>
      <c r="AU556" s="25"/>
      <c r="AV556" s="25"/>
      <c r="AW556" s="25"/>
      <c r="AX556" s="25"/>
      <c r="AY556" s="25"/>
      <c r="AZ556" s="25"/>
      <c r="BA556" s="25"/>
      <c r="BB556" s="25"/>
      <c r="BC556" s="25"/>
      <c r="BD556" s="25"/>
      <c r="BE556" s="25"/>
      <c r="BF556" s="25"/>
      <c r="BG556" s="25"/>
      <c r="BH556" s="25"/>
      <c r="BI556" s="413"/>
      <c r="BJ556" s="12"/>
    </row>
    <row r="557" spans="1:62" ht="114.75" hidden="1" customHeight="1">
      <c r="A557" s="16">
        <f>OBRA!K555</f>
        <v>2021</v>
      </c>
      <c r="B557" s="1444" t="s">
        <v>2094</v>
      </c>
      <c r="C557" s="781">
        <f>OBRA!L555</f>
        <v>213009</v>
      </c>
      <c r="D557" s="1593" t="s">
        <v>550</v>
      </c>
      <c r="E557" s="413" t="str">
        <f>OBRA!N555</f>
        <v>CUENTA CORRIENTE</v>
      </c>
      <c r="F557" s="18" t="s">
        <v>1427</v>
      </c>
      <c r="G557" s="156" t="s">
        <v>2864</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3827</v>
      </c>
      <c r="L557" s="3"/>
      <c r="M557" s="674" t="s">
        <v>3954</v>
      </c>
      <c r="N557" s="674" t="s">
        <v>2515</v>
      </c>
      <c r="O557" s="505" t="s">
        <v>3821</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5669</v>
      </c>
      <c r="AB557" s="2" t="s">
        <v>3951</v>
      </c>
      <c r="AC557" s="2" t="s">
        <v>3952</v>
      </c>
      <c r="AD557" s="2" t="s">
        <v>4500</v>
      </c>
      <c r="AE557" s="184" t="str">
        <f>OBRA!Y555</f>
        <v>DANIEL RODRIGUEZ</v>
      </c>
      <c r="AF557" s="19">
        <v>1</v>
      </c>
      <c r="AG557" s="2" t="s">
        <v>6778</v>
      </c>
      <c r="AH557" s="184">
        <f t="shared" si="38"/>
        <v>554.48</v>
      </c>
      <c r="AI557" s="511"/>
      <c r="AJ557" s="507"/>
      <c r="AK557" s="1991">
        <v>1</v>
      </c>
      <c r="AL557" s="626"/>
      <c r="AM557" s="1546"/>
      <c r="AN557" s="1339"/>
      <c r="AO557" s="1339"/>
      <c r="AP557" s="1339"/>
      <c r="AQ557" s="514" t="s">
        <v>67</v>
      </c>
      <c r="AR557" s="514"/>
      <c r="AS557" s="124" t="s">
        <v>67</v>
      </c>
      <c r="AT557" s="25"/>
      <c r="AU557" s="25"/>
      <c r="AV557" s="25"/>
      <c r="AW557" s="25"/>
      <c r="AX557" s="25"/>
      <c r="AY557" s="25"/>
      <c r="AZ557" s="25"/>
      <c r="BA557" s="25"/>
      <c r="BB557" s="25"/>
      <c r="BC557" s="25"/>
      <c r="BD557" s="25"/>
      <c r="BE557" s="25"/>
      <c r="BF557" s="25"/>
      <c r="BG557" s="25"/>
      <c r="BH557" s="25"/>
      <c r="BI557" s="413"/>
      <c r="BJ557" s="12"/>
    </row>
    <row r="558" spans="1:62" ht="89.25" hidden="1" customHeight="1">
      <c r="A558" s="16">
        <f>OBRA!K556</f>
        <v>2021</v>
      </c>
      <c r="B558" s="1444" t="s">
        <v>2094</v>
      </c>
      <c r="C558" s="781">
        <f>OBRA!L556</f>
        <v>214001</v>
      </c>
      <c r="D558" s="1593" t="s">
        <v>550</v>
      </c>
      <c r="E558" s="413" t="str">
        <f>OBRA!N556</f>
        <v>CUENTA CORRIENTE</v>
      </c>
      <c r="F558" s="18" t="s">
        <v>1427</v>
      </c>
      <c r="G558" s="156" t="s">
        <v>2864</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5621</v>
      </c>
      <c r="L558" s="3"/>
      <c r="M558" s="674" t="s">
        <v>4098</v>
      </c>
      <c r="N558" s="674" t="s">
        <v>2580</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5668</v>
      </c>
      <c r="AB558" s="2" t="s">
        <v>3759</v>
      </c>
      <c r="AC558" s="1817" t="s">
        <v>4429</v>
      </c>
      <c r="AD558" s="1816" t="s">
        <v>5636</v>
      </c>
      <c r="AE558" s="184" t="str">
        <f>OBRA!Y556</f>
        <v>ING. MIGUEL MACHUCA HERNÁNDEZ</v>
      </c>
      <c r="AF558" s="19">
        <v>1</v>
      </c>
      <c r="AG558" s="2" t="s">
        <v>6780</v>
      </c>
      <c r="AH558" s="184">
        <f t="shared" si="38"/>
        <v>11600</v>
      </c>
      <c r="AI558" s="511"/>
      <c r="AJ558" s="507"/>
      <c r="AK558" s="1991">
        <v>1</v>
      </c>
      <c r="AL558" s="626"/>
      <c r="AM558" s="1546"/>
      <c r="AN558" s="1339"/>
      <c r="AO558" s="1339"/>
      <c r="AP558" s="1339"/>
      <c r="AQ558" s="514" t="s">
        <v>67</v>
      </c>
      <c r="AR558" s="514"/>
      <c r="AS558" s="124" t="s">
        <v>67</v>
      </c>
      <c r="AT558" s="25"/>
      <c r="AU558" s="25"/>
      <c r="AV558" s="25"/>
      <c r="AW558" s="25"/>
      <c r="AX558" s="25"/>
      <c r="AY558" s="25"/>
      <c r="AZ558" s="25"/>
      <c r="BA558" s="25"/>
      <c r="BB558" s="25"/>
      <c r="BC558" s="25"/>
      <c r="BD558" s="25"/>
      <c r="BE558" s="25"/>
      <c r="BF558" s="25"/>
      <c r="BG558" s="25"/>
      <c r="BH558" s="25"/>
      <c r="BI558" s="413"/>
      <c r="BJ558" s="12"/>
    </row>
    <row r="559" spans="1:62" s="1072" customFormat="1" ht="44.25" hidden="1" customHeight="1">
      <c r="A559" s="535">
        <f>OBRA!K557</f>
        <v>2021</v>
      </c>
      <c r="B559" s="1520" t="s">
        <v>2094</v>
      </c>
      <c r="C559" s="781">
        <f>OBRA!L557</f>
        <v>214002</v>
      </c>
      <c r="D559" s="1589" t="s">
        <v>550</v>
      </c>
      <c r="E559" s="187" t="str">
        <f>OBRA!N557</f>
        <v>CUENTA CORRIENTE</v>
      </c>
      <c r="F559" s="1494" t="s">
        <v>1427</v>
      </c>
      <c r="G559" s="569" t="s">
        <v>2864</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1549"/>
      <c r="AM559" s="1550"/>
      <c r="AN559" s="1528"/>
      <c r="AO559" s="1528"/>
      <c r="AP559" s="1528"/>
      <c r="AQ559" s="517" t="s">
        <v>67</v>
      </c>
      <c r="AR559" s="517"/>
      <c r="AS559" s="1529" t="s">
        <v>67</v>
      </c>
      <c r="AT559" s="1847"/>
      <c r="AU559" s="1847"/>
      <c r="AV559" s="1847"/>
      <c r="AW559" s="1847"/>
      <c r="AX559" s="1847"/>
      <c r="AY559" s="1847"/>
      <c r="AZ559" s="1847"/>
      <c r="BA559" s="1847"/>
      <c r="BB559" s="1847"/>
      <c r="BC559" s="1847"/>
      <c r="BD559" s="1847"/>
      <c r="BE559" s="1847"/>
      <c r="BF559" s="1847"/>
      <c r="BG559" s="1847"/>
      <c r="BH559" s="1847"/>
      <c r="BI559" s="1521"/>
      <c r="BJ559" s="1503"/>
    </row>
    <row r="560" spans="1:62" ht="84.75" hidden="1" customHeight="1">
      <c r="A560" s="16">
        <f>OBRA!K558</f>
        <v>2021</v>
      </c>
      <c r="B560" s="1444" t="s">
        <v>2094</v>
      </c>
      <c r="C560" s="781">
        <f>OBRA!L558</f>
        <v>214003</v>
      </c>
      <c r="D560" s="1593" t="s">
        <v>550</v>
      </c>
      <c r="E560" s="413" t="str">
        <f>OBRA!N558</f>
        <v>CUENTA CORRIENTE</v>
      </c>
      <c r="F560" s="18" t="s">
        <v>1427</v>
      </c>
      <c r="G560" s="156" t="s">
        <v>2864</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5628</v>
      </c>
      <c r="L560" s="3"/>
      <c r="M560" s="674" t="s">
        <v>3979</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5669</v>
      </c>
      <c r="AB560" s="2" t="s">
        <v>4501</v>
      </c>
      <c r="AC560" s="2" t="s">
        <v>1572</v>
      </c>
      <c r="AD560" s="2" t="s">
        <v>4502</v>
      </c>
      <c r="AE560" s="184" t="str">
        <f>OBRA!Y558</f>
        <v>ARQ. FRANCISCO SALAZAR</v>
      </c>
      <c r="AF560" s="19">
        <v>1</v>
      </c>
      <c r="AG560" s="2" t="s">
        <v>1573</v>
      </c>
      <c r="AH560" s="184">
        <f t="shared" si="38"/>
        <v>23200</v>
      </c>
      <c r="AI560" s="511"/>
      <c r="AJ560" s="507"/>
      <c r="AK560" s="1991">
        <v>1</v>
      </c>
      <c r="AL560" s="626"/>
      <c r="AM560" s="1546"/>
      <c r="AN560" s="1339"/>
      <c r="AO560" s="1339"/>
      <c r="AP560" s="1339"/>
      <c r="AQ560" s="514" t="s">
        <v>67</v>
      </c>
      <c r="AR560" s="514"/>
      <c r="AS560" s="124" t="s">
        <v>67</v>
      </c>
      <c r="AT560" s="25"/>
      <c r="AU560" s="25"/>
      <c r="AV560" s="25"/>
      <c r="AW560" s="25"/>
      <c r="AX560" s="25"/>
      <c r="AY560" s="25"/>
      <c r="AZ560" s="25"/>
      <c r="BA560" s="25"/>
      <c r="BB560" s="25"/>
      <c r="BC560" s="25"/>
      <c r="BD560" s="25"/>
      <c r="BE560" s="25"/>
      <c r="BF560" s="25"/>
      <c r="BG560" s="25"/>
      <c r="BH560" s="25"/>
      <c r="BI560" s="413"/>
      <c r="BJ560" s="12"/>
    </row>
    <row r="561" spans="1:62" s="1072" customFormat="1" ht="51" hidden="1" customHeight="1">
      <c r="A561" s="535">
        <f>OBRA!K559</f>
        <v>2021</v>
      </c>
      <c r="B561" s="1520" t="s">
        <v>2094</v>
      </c>
      <c r="C561" s="781">
        <f>OBRA!L559</f>
        <v>214004</v>
      </c>
      <c r="D561" s="1589" t="s">
        <v>550</v>
      </c>
      <c r="E561" s="187" t="str">
        <f>OBRA!N559</f>
        <v>CUENTA CORRIENTE</v>
      </c>
      <c r="F561" s="1494" t="s">
        <v>1427</v>
      </c>
      <c r="G561" s="569" t="s">
        <v>2864</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1549"/>
      <c r="AM561" s="1550"/>
      <c r="AN561" s="1528"/>
      <c r="AO561" s="1528"/>
      <c r="AP561" s="1528"/>
      <c r="AQ561" s="517" t="s">
        <v>67</v>
      </c>
      <c r="AR561" s="517"/>
      <c r="AS561" s="1529" t="s">
        <v>67</v>
      </c>
      <c r="AT561" s="1847"/>
      <c r="AU561" s="1847"/>
      <c r="AV561" s="1847"/>
      <c r="AW561" s="1847"/>
      <c r="AX561" s="1847"/>
      <c r="AY561" s="1847"/>
      <c r="AZ561" s="1847"/>
      <c r="BA561" s="1847"/>
      <c r="BB561" s="1847"/>
      <c r="BC561" s="1847"/>
      <c r="BD561" s="1847"/>
      <c r="BE561" s="1847"/>
      <c r="BF561" s="1847"/>
      <c r="BG561" s="1847"/>
      <c r="BH561" s="1847"/>
      <c r="BI561" s="1521"/>
      <c r="BJ561" s="1503"/>
    </row>
    <row r="562" spans="1:62" ht="171.75" hidden="1" customHeight="1">
      <c r="A562" s="16">
        <f>OBRA!K560</f>
        <v>2021</v>
      </c>
      <c r="B562" s="1444" t="s">
        <v>2094</v>
      </c>
      <c r="C562" s="781">
        <f>OBRA!L560</f>
        <v>214005</v>
      </c>
      <c r="D562" s="1593" t="s">
        <v>550</v>
      </c>
      <c r="E562" s="413" t="str">
        <f>OBRA!N560</f>
        <v>CUENTA CORRIENTE</v>
      </c>
      <c r="F562" s="18" t="s">
        <v>1427</v>
      </c>
      <c r="G562" s="156" t="s">
        <v>2864</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5629</v>
      </c>
      <c r="L562" s="3"/>
      <c r="M562" s="674" t="s">
        <v>4099</v>
      </c>
      <c r="N562" s="674" t="s">
        <v>2515</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5668</v>
      </c>
      <c r="AB562" s="2" t="s">
        <v>6782</v>
      </c>
      <c r="AC562" s="2" t="s">
        <v>6781</v>
      </c>
      <c r="AD562" s="2" t="s">
        <v>6783</v>
      </c>
      <c r="AE562" s="554">
        <f>OBRA!Y560</f>
        <v>0</v>
      </c>
      <c r="AF562" s="19">
        <v>1</v>
      </c>
      <c r="AG562" s="2" t="s">
        <v>1573</v>
      </c>
      <c r="AH562" s="184">
        <f t="shared" si="38"/>
        <v>16239.999999999998</v>
      </c>
      <c r="AI562" s="511"/>
      <c r="AJ562" s="507"/>
      <c r="AK562" s="1991">
        <v>1</v>
      </c>
      <c r="AL562" s="626"/>
      <c r="AM562" s="1546"/>
      <c r="AN562" s="1339"/>
      <c r="AO562" s="1339"/>
      <c r="AP562" s="1339"/>
      <c r="AQ562" s="514" t="s">
        <v>67</v>
      </c>
      <c r="AR562" s="514"/>
      <c r="AS562" s="124" t="s">
        <v>67</v>
      </c>
      <c r="AT562" s="25"/>
      <c r="AU562" s="25"/>
      <c r="AV562" s="25"/>
      <c r="AW562" s="25"/>
      <c r="AX562" s="25"/>
      <c r="AY562" s="25"/>
      <c r="AZ562" s="25"/>
      <c r="BA562" s="25"/>
      <c r="BB562" s="25"/>
      <c r="BC562" s="25"/>
      <c r="BD562" s="25"/>
      <c r="BE562" s="25"/>
      <c r="BF562" s="25"/>
      <c r="BG562" s="25"/>
      <c r="BH562" s="25"/>
      <c r="BI562" s="413"/>
      <c r="BJ562" s="12"/>
    </row>
    <row r="563" spans="1:62" s="1072" customFormat="1" ht="51" hidden="1" customHeight="1">
      <c r="A563" s="535">
        <f>OBRA!K561</f>
        <v>2021</v>
      </c>
      <c r="B563" s="1520" t="s">
        <v>2094</v>
      </c>
      <c r="C563" s="781">
        <f>OBRA!L561</f>
        <v>214006</v>
      </c>
      <c r="D563" s="1589" t="s">
        <v>550</v>
      </c>
      <c r="E563" s="187" t="str">
        <f>OBRA!N561</f>
        <v>CUENTA CORRIENTE</v>
      </c>
      <c r="F563" s="1494" t="s">
        <v>1427</v>
      </c>
      <c r="G563" s="569" t="s">
        <v>2864</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1549"/>
      <c r="AM563" s="1550"/>
      <c r="AN563" s="1528"/>
      <c r="AO563" s="1528"/>
      <c r="AP563" s="1528"/>
      <c r="AQ563" s="517" t="s">
        <v>67</v>
      </c>
      <c r="AR563" s="517"/>
      <c r="AS563" s="1529" t="s">
        <v>67</v>
      </c>
      <c r="AT563" s="1847"/>
      <c r="AU563" s="1847"/>
      <c r="AV563" s="1847"/>
      <c r="AW563" s="1847"/>
      <c r="AX563" s="1847"/>
      <c r="AY563" s="1847"/>
      <c r="AZ563" s="1847"/>
      <c r="BA563" s="1847"/>
      <c r="BB563" s="1847"/>
      <c r="BC563" s="1847"/>
      <c r="BD563" s="1847"/>
      <c r="BE563" s="1847"/>
      <c r="BF563" s="1847"/>
      <c r="BG563" s="1847"/>
      <c r="BH563" s="1847"/>
      <c r="BI563" s="1521"/>
      <c r="BJ563" s="1503"/>
    </row>
    <row r="564" spans="1:62" ht="141" hidden="1" customHeight="1">
      <c r="A564" s="16">
        <f>OBRA!K562</f>
        <v>2021</v>
      </c>
      <c r="B564" s="1444" t="s">
        <v>2094</v>
      </c>
      <c r="C564" s="781">
        <f>OBRA!L562</f>
        <v>214007</v>
      </c>
      <c r="D564" s="1593" t="s">
        <v>550</v>
      </c>
      <c r="E564" s="413" t="str">
        <f>OBRA!N562</f>
        <v>CUENTA CORRIENTE</v>
      </c>
      <c r="F564" s="18" t="s">
        <v>1427</v>
      </c>
      <c r="G564" s="156" t="s">
        <v>2864</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5630</v>
      </c>
      <c r="L564" s="3"/>
      <c r="M564" s="674" t="s">
        <v>4100</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5669</v>
      </c>
      <c r="AB564" s="2" t="s">
        <v>4503</v>
      </c>
      <c r="AC564" s="1817" t="s">
        <v>4433</v>
      </c>
      <c r="AD564" s="1816" t="s">
        <v>6784</v>
      </c>
      <c r="AE564" s="554">
        <f>OBRA!Y562</f>
        <v>0</v>
      </c>
      <c r="AF564" s="19">
        <v>1</v>
      </c>
      <c r="AG564" s="2" t="s">
        <v>6780</v>
      </c>
      <c r="AH564" s="184">
        <f t="shared" si="38"/>
        <v>16240</v>
      </c>
      <c r="AI564" s="511"/>
      <c r="AJ564" s="507"/>
      <c r="AK564" s="1991">
        <v>1</v>
      </c>
      <c r="AL564" s="626"/>
      <c r="AM564" s="1546"/>
      <c r="AN564" s="1339"/>
      <c r="AO564" s="1339"/>
      <c r="AP564" s="1339"/>
      <c r="AQ564" s="514" t="s">
        <v>67</v>
      </c>
      <c r="AR564" s="514"/>
      <c r="AS564" s="124" t="s">
        <v>67</v>
      </c>
      <c r="AT564" s="25"/>
      <c r="AU564" s="25"/>
      <c r="AV564" s="25"/>
      <c r="AW564" s="25"/>
      <c r="AX564" s="25"/>
      <c r="AY564" s="25"/>
      <c r="AZ564" s="25"/>
      <c r="BA564" s="25"/>
      <c r="BB564" s="25"/>
      <c r="BC564" s="25"/>
      <c r="BD564" s="25"/>
      <c r="BE564" s="25"/>
      <c r="BF564" s="25"/>
      <c r="BG564" s="25"/>
      <c r="BH564" s="25"/>
      <c r="BI564" s="413"/>
      <c r="BJ564" s="12"/>
    </row>
    <row r="565" spans="1:62" ht="254.25" hidden="1" customHeight="1">
      <c r="A565" s="16">
        <f>OBRA!K563</f>
        <v>2021</v>
      </c>
      <c r="B565" s="1444" t="s">
        <v>2094</v>
      </c>
      <c r="C565" s="781">
        <f>OBRA!L563</f>
        <v>214008</v>
      </c>
      <c r="D565" s="1593" t="s">
        <v>550</v>
      </c>
      <c r="E565" s="413" t="str">
        <f>OBRA!N563</f>
        <v>CUENTA CORRIENTE</v>
      </c>
      <c r="F565" s="18" t="s">
        <v>1427</v>
      </c>
      <c r="G565" s="156" t="s">
        <v>2864</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5631</v>
      </c>
      <c r="L565" s="3"/>
      <c r="M565" s="674" t="s">
        <v>3979</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5668</v>
      </c>
      <c r="AB565" s="1816" t="s">
        <v>3745</v>
      </c>
      <c r="AC565" s="146" t="s">
        <v>4295</v>
      </c>
      <c r="AD565" s="148" t="s">
        <v>6571</v>
      </c>
      <c r="AE565" s="554">
        <f>OBRA!Y563</f>
        <v>0</v>
      </c>
      <c r="AF565" s="19">
        <v>1</v>
      </c>
      <c r="AG565" s="2" t="s">
        <v>1573</v>
      </c>
      <c r="AH565" s="184">
        <f t="shared" si="38"/>
        <v>226407.64</v>
      </c>
      <c r="AI565" s="511"/>
      <c r="AJ565" s="507"/>
      <c r="AK565" s="1991">
        <v>1</v>
      </c>
      <c r="AL565" s="626"/>
      <c r="AM565" s="1546"/>
      <c r="AN565" s="1339"/>
      <c r="AO565" s="1339"/>
      <c r="AP565" s="1339"/>
      <c r="AQ565" s="514" t="s">
        <v>67</v>
      </c>
      <c r="AR565" s="514"/>
      <c r="AS565" s="124" t="s">
        <v>67</v>
      </c>
      <c r="AT565" s="25"/>
      <c r="AU565" s="25"/>
      <c r="AV565" s="25"/>
      <c r="AW565" s="25"/>
      <c r="AX565" s="25"/>
      <c r="AY565" s="25"/>
      <c r="AZ565" s="25"/>
      <c r="BA565" s="25"/>
      <c r="BB565" s="25"/>
      <c r="BC565" s="25"/>
      <c r="BD565" s="25"/>
      <c r="BE565" s="25"/>
      <c r="BF565" s="25"/>
      <c r="BG565" s="25"/>
      <c r="BH565" s="25"/>
      <c r="BI565" s="413"/>
      <c r="BJ565" s="12"/>
    </row>
    <row r="566" spans="1:62" ht="134.25" hidden="1" customHeight="1">
      <c r="A566" s="16">
        <f>OBRA!K564</f>
        <v>2021</v>
      </c>
      <c r="B566" s="1444" t="s">
        <v>2094</v>
      </c>
      <c r="C566" s="781">
        <f>OBRA!L564</f>
        <v>214009</v>
      </c>
      <c r="D566" s="1593" t="s">
        <v>550</v>
      </c>
      <c r="E566" s="413" t="str">
        <f>OBRA!N564</f>
        <v>CUENTA CORRIENTE</v>
      </c>
      <c r="F566" s="18" t="s">
        <v>1427</v>
      </c>
      <c r="G566" s="156" t="s">
        <v>2864</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5632</v>
      </c>
      <c r="L566" s="3"/>
      <c r="M566" s="674" t="s">
        <v>4101</v>
      </c>
      <c r="N566" s="674" t="s">
        <v>2578</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5669</v>
      </c>
      <c r="AB566" s="2" t="s">
        <v>4504</v>
      </c>
      <c r="AC566" s="2" t="s">
        <v>4505</v>
      </c>
      <c r="AD566" s="2" t="s">
        <v>4506</v>
      </c>
      <c r="AE566" s="554">
        <f>OBRA!Y564</f>
        <v>0</v>
      </c>
      <c r="AF566" s="19">
        <v>15</v>
      </c>
      <c r="AG566" s="2" t="s">
        <v>6433</v>
      </c>
      <c r="AH566" s="184">
        <f t="shared" si="38"/>
        <v>6086.666666666667</v>
      </c>
      <c r="AI566" s="511"/>
      <c r="AJ566" s="511"/>
      <c r="AK566" s="511"/>
      <c r="AL566" s="626"/>
      <c r="AM566" s="1546"/>
      <c r="AN566" s="1339"/>
      <c r="AO566" s="1339"/>
      <c r="AP566" s="1339"/>
      <c r="AQ566" s="514" t="s">
        <v>67</v>
      </c>
      <c r="AR566" s="514"/>
      <c r="AS566" s="124" t="s">
        <v>67</v>
      </c>
      <c r="AT566" s="25"/>
      <c r="AU566" s="25"/>
      <c r="AV566" s="25"/>
      <c r="AW566" s="25"/>
      <c r="AX566" s="25"/>
      <c r="AY566" s="25"/>
      <c r="AZ566" s="25"/>
      <c r="BA566" s="25"/>
      <c r="BB566" s="25"/>
      <c r="BC566" s="25"/>
      <c r="BD566" s="25"/>
      <c r="BE566" s="25"/>
      <c r="BF566" s="25"/>
      <c r="BG566" s="25"/>
      <c r="BH566" s="25"/>
      <c r="BI566" s="413"/>
      <c r="BJ566" s="12"/>
    </row>
    <row r="567" spans="1:62" ht="111" hidden="1" customHeight="1">
      <c r="A567" s="16">
        <f>OBRA!K565</f>
        <v>2021</v>
      </c>
      <c r="B567" s="781" t="s">
        <v>2094</v>
      </c>
      <c r="C567" s="781">
        <f>OBRA!L565</f>
        <v>215001</v>
      </c>
      <c r="D567" s="1590"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3772</v>
      </c>
      <c r="L567" s="3" t="s">
        <v>4754</v>
      </c>
      <c r="M567" s="3" t="s">
        <v>3633</v>
      </c>
      <c r="N567" s="3" t="s">
        <v>2580</v>
      </c>
      <c r="O567" s="505" t="s">
        <v>3509</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3464</v>
      </c>
      <c r="Z567" s="146" t="s">
        <v>2935</v>
      </c>
      <c r="AA567" s="146" t="s">
        <v>5668</v>
      </c>
      <c r="AB567" s="2" t="str">
        <f>Z567</f>
        <v>JESSICA MONSERRAT RIVERA TORRES</v>
      </c>
      <c r="AC567" s="2" t="s">
        <v>2962</v>
      </c>
      <c r="AD567" s="2" t="s">
        <v>2962</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1551">
        <v>20.28668</v>
      </c>
      <c r="AM567" s="1552">
        <v>103.42398300000001</v>
      </c>
      <c r="AN567" s="1247" t="s">
        <v>3794</v>
      </c>
      <c r="AO567" s="1247" t="s">
        <v>3794</v>
      </c>
      <c r="AP567" s="1247" t="s">
        <v>3794</v>
      </c>
      <c r="AQ567" s="1248" t="s">
        <v>3794</v>
      </c>
      <c r="AR567" s="1248"/>
      <c r="AS567" s="1263" t="s">
        <v>3794</v>
      </c>
      <c r="AT567" s="1849"/>
      <c r="AU567" s="1849"/>
      <c r="AV567" s="1849"/>
      <c r="AW567" s="1849"/>
      <c r="AX567" s="1849"/>
      <c r="AY567" s="1849"/>
      <c r="AZ567" s="1849"/>
      <c r="BA567" s="1849"/>
      <c r="BB567" s="1718"/>
      <c r="BC567" s="1718"/>
      <c r="BD567" s="1718"/>
      <c r="BE567" s="1718"/>
      <c r="BF567" s="1718"/>
      <c r="BG567" s="1718"/>
      <c r="BH567" s="1718"/>
      <c r="BI567" s="413" t="s">
        <v>550</v>
      </c>
      <c r="BJ567" s="12"/>
    </row>
    <row r="568" spans="1:62" ht="216" hidden="1" customHeight="1">
      <c r="A568" s="16">
        <f>OBRA!K566</f>
        <v>2021</v>
      </c>
      <c r="B568" s="1444" t="s">
        <v>2094</v>
      </c>
      <c r="C568" s="781">
        <f>OBRA!L566</f>
        <v>215002</v>
      </c>
      <c r="D568" s="1593"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3798</v>
      </c>
      <c r="L568" s="1348" t="s">
        <v>6249</v>
      </c>
      <c r="M568" s="3" t="s">
        <v>6299</v>
      </c>
      <c r="N568" s="3" t="s">
        <v>2580</v>
      </c>
      <c r="O568" s="505" t="s">
        <v>3801</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3465</v>
      </c>
      <c r="Z568" s="146" t="str">
        <f>OBRA!X566</f>
        <v>CONCRETOS, ASFALTOS Y CIMENTACIONES EDIR, S.A. DE C.V.</v>
      </c>
      <c r="AA568" s="146" t="s">
        <v>5669</v>
      </c>
      <c r="AB568" s="148" t="s">
        <v>3466</v>
      </c>
      <c r="AC568" s="2" t="s">
        <v>3467</v>
      </c>
      <c r="AD568" s="146" t="s">
        <v>3468</v>
      </c>
      <c r="AE568" s="184" t="str">
        <f>OBRA!Y566</f>
        <v xml:space="preserve">ING. ENRIQUE ENRÍQUEZ VÁZQUEZ </v>
      </c>
      <c r="AF568" s="19">
        <v>788.8</v>
      </c>
      <c r="AG568" s="2" t="s">
        <v>1548</v>
      </c>
      <c r="AH568" s="607">
        <f t="shared" si="39"/>
        <v>3178.317406186613</v>
      </c>
      <c r="AI568" s="2">
        <v>1000</v>
      </c>
      <c r="AJ568" s="514">
        <v>5000</v>
      </c>
      <c r="AK568" s="514"/>
      <c r="AL568" s="1551">
        <v>20.286808000000001</v>
      </c>
      <c r="AM568" s="1552">
        <v>103.42434799999999</v>
      </c>
      <c r="AN568" s="563" t="s">
        <v>3804</v>
      </c>
      <c r="AO568" s="563" t="s">
        <v>3804</v>
      </c>
      <c r="AP568" s="563" t="s">
        <v>3804</v>
      </c>
      <c r="AQ568" s="502" t="s">
        <v>3804</v>
      </c>
      <c r="AR568" s="502"/>
      <c r="AS568" s="1535" t="s">
        <v>3804</v>
      </c>
      <c r="AT568" s="1869">
        <f>305713.8*1.16</f>
        <v>354628.00799999997</v>
      </c>
      <c r="AU568" s="1869">
        <f>195807.16*1.16</f>
        <v>227136.30559999999</v>
      </c>
      <c r="AV568" s="1869">
        <f>476620.31*1.16</f>
        <v>552879.55959999992</v>
      </c>
      <c r="AW568" s="1869">
        <v>0</v>
      </c>
      <c r="AX568" s="1869">
        <f>(509124.29*2)*1.16</f>
        <v>1181168.3527999998</v>
      </c>
      <c r="AY568" s="1869">
        <v>245774.4</v>
      </c>
      <c r="AZ568" s="1869">
        <v>0</v>
      </c>
      <c r="BA568" s="1869">
        <v>0</v>
      </c>
      <c r="BB568" s="2">
        <v>168</v>
      </c>
      <c r="BC568" s="2" t="s">
        <v>6290</v>
      </c>
      <c r="BD568" s="2">
        <v>168</v>
      </c>
      <c r="BE568" s="2">
        <v>0</v>
      </c>
      <c r="BF568" s="2">
        <f>788.8</f>
        <v>788.8</v>
      </c>
      <c r="BG568" s="2">
        <v>640</v>
      </c>
      <c r="BH568" s="413">
        <v>0</v>
      </c>
      <c r="BI568" s="413" t="s">
        <v>550</v>
      </c>
      <c r="BJ568" s="12"/>
    </row>
    <row r="569" spans="1:62" s="1072" customFormat="1" ht="86.25" hidden="1" customHeight="1">
      <c r="A569" s="535">
        <f>OBRA!K567</f>
        <v>2021</v>
      </c>
      <c r="B569" s="1520" t="s">
        <v>2094</v>
      </c>
      <c r="C569" s="781">
        <f>OBRA!L567</f>
        <v>215003</v>
      </c>
      <c r="D569" s="1589"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4102</v>
      </c>
      <c r="N569" s="106" t="s">
        <v>2580</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3470</v>
      </c>
      <c r="Z569" s="1526" t="str">
        <f>OBRA!X567</f>
        <v>C. SERGIO CABRERA</v>
      </c>
      <c r="AA569" s="1526" t="s">
        <v>5668</v>
      </c>
      <c r="AB569" s="1532" t="s">
        <v>3469</v>
      </c>
      <c r="AC569" s="1532" t="s">
        <v>3352</v>
      </c>
      <c r="AD569" s="1526" t="s">
        <v>3353</v>
      </c>
      <c r="AE569" s="1527" t="str">
        <f>OBRA!Y567</f>
        <v xml:space="preserve">ING. ENRIQUE ENRÍQUEZ VÁZQUEZ </v>
      </c>
      <c r="AF569" s="834"/>
      <c r="AG569" s="187" t="s">
        <v>1548</v>
      </c>
      <c r="AH569" s="1527" t="e">
        <f t="shared" si="39"/>
        <v>#DIV/0!</v>
      </c>
      <c r="AI569" s="187"/>
      <c r="AJ569" s="517"/>
      <c r="AK569" s="517"/>
      <c r="AL569" s="1585">
        <v>20.286808000000001</v>
      </c>
      <c r="AM569" s="1586">
        <v>103.42434799999999</v>
      </c>
      <c r="AN569" s="1533"/>
      <c r="AO569" s="1533"/>
      <c r="AP569" s="1533"/>
      <c r="AQ569" s="517"/>
      <c r="AR569" s="517"/>
      <c r="AS569" s="1529"/>
      <c r="AT569" s="1847"/>
      <c r="AU569" s="1847"/>
      <c r="AV569" s="1847"/>
      <c r="AW569" s="1847"/>
      <c r="AX569" s="1847"/>
      <c r="AY569" s="1847"/>
      <c r="AZ569" s="1847"/>
      <c r="BA569" s="1847"/>
      <c r="BB569" s="1847"/>
      <c r="BC569" s="1847"/>
      <c r="BD569" s="1847"/>
      <c r="BE569" s="1847"/>
      <c r="BF569" s="1847"/>
      <c r="BG569" s="1847"/>
      <c r="BH569" s="1847"/>
      <c r="BI569" s="1521"/>
      <c r="BJ569" s="1503"/>
    </row>
    <row r="570" spans="1:62" ht="227.25" hidden="1" customHeight="1">
      <c r="A570" s="16">
        <f>OBRA!K568</f>
        <v>2021</v>
      </c>
      <c r="B570" s="1444" t="s">
        <v>2094</v>
      </c>
      <c r="C570" s="781">
        <f>OBRA!L568</f>
        <v>215004</v>
      </c>
      <c r="D570" s="1593"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3798</v>
      </c>
      <c r="L570" s="1348" t="s">
        <v>6249</v>
      </c>
      <c r="M570" s="3" t="s">
        <v>6300</v>
      </c>
      <c r="N570" s="3" t="s">
        <v>2580</v>
      </c>
      <c r="O570" s="505" t="s">
        <v>3509</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3799</v>
      </c>
      <c r="Z570" s="146" t="str">
        <f>OBRA!X568</f>
        <v>TERRACERÍAS Y PAVIMENTOS DE LA RIBERA, S.A. DE C.V.</v>
      </c>
      <c r="AA570" s="146" t="s">
        <v>5669</v>
      </c>
      <c r="AB570" s="148" t="s">
        <v>738</v>
      </c>
      <c r="AC570" s="148" t="s">
        <v>3473</v>
      </c>
      <c r="AD570" s="146" t="s">
        <v>3636</v>
      </c>
      <c r="AE570" s="184" t="str">
        <f>OBRA!Y568</f>
        <v xml:space="preserve">ING. ENRIQUE ENRÍQUEZ VÁZQUEZ </v>
      </c>
      <c r="AF570" s="19">
        <v>2431.5300000000002</v>
      </c>
      <c r="AG570" s="2" t="s">
        <v>1548</v>
      </c>
      <c r="AH570" s="607">
        <f t="shared" si="39"/>
        <v>3381.3680234255794</v>
      </c>
      <c r="AI570" s="2">
        <v>1000</v>
      </c>
      <c r="AJ570" s="514">
        <v>5000</v>
      </c>
      <c r="AK570" s="514"/>
      <c r="AL570" s="1551">
        <v>20.287118</v>
      </c>
      <c r="AM570" s="1552">
        <v>103.42209699999999</v>
      </c>
      <c r="AN570" s="563" t="s">
        <v>3800</v>
      </c>
      <c r="AO570" s="563" t="s">
        <v>3800</v>
      </c>
      <c r="AP570" s="563" t="s">
        <v>3800</v>
      </c>
      <c r="AQ570" s="502" t="s">
        <v>3800</v>
      </c>
      <c r="AR570" s="502"/>
      <c r="AS570" s="1535" t="s">
        <v>3804</v>
      </c>
      <c r="AT570" s="1869">
        <f>612884.81*1.16</f>
        <v>710946.37959999999</v>
      </c>
      <c r="AU570" s="1869">
        <v>0</v>
      </c>
      <c r="AV570" s="1869">
        <v>1253623.92</v>
      </c>
      <c r="AW570" s="1869">
        <v>0</v>
      </c>
      <c r="AX570" s="1869">
        <f>2064156.75*2*1.16</f>
        <v>4788843.6599999992</v>
      </c>
      <c r="AY570" s="1869">
        <v>0</v>
      </c>
      <c r="AZ570" s="1869">
        <v>0</v>
      </c>
      <c r="BA570" s="1869">
        <v>0</v>
      </c>
      <c r="BB570" s="2">
        <v>540.34</v>
      </c>
      <c r="BC570" s="2">
        <v>0</v>
      </c>
      <c r="BD570" s="2">
        <v>540.34</v>
      </c>
      <c r="BE570" s="2">
        <v>0</v>
      </c>
      <c r="BF570" s="2">
        <v>2431.5300000000002</v>
      </c>
      <c r="BG570" s="2">
        <v>0</v>
      </c>
      <c r="BH570" s="413">
        <v>0</v>
      </c>
      <c r="BI570" s="413" t="s">
        <v>550</v>
      </c>
      <c r="BJ570" s="12"/>
    </row>
    <row r="571" spans="1:62" ht="170.25" hidden="1" customHeight="1">
      <c r="A571" s="16">
        <f>OBRA!K569</f>
        <v>2021</v>
      </c>
      <c r="B571" s="1444" t="s">
        <v>2094</v>
      </c>
      <c r="C571" s="781">
        <f>OBRA!L569</f>
        <v>215005</v>
      </c>
      <c r="D571" s="1593"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4439</v>
      </c>
      <c r="L571" s="3" t="s">
        <v>6253</v>
      </c>
      <c r="M571" s="3" t="s">
        <v>4103</v>
      </c>
      <c r="N571" s="3" t="s">
        <v>2580</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3470</v>
      </c>
      <c r="Z571" s="146" t="str">
        <f>OBRA!X569</f>
        <v>TERRACERÍAS Y PAVIMENTOS DE LA RIBERA, S.A. DE C.V.</v>
      </c>
      <c r="AA571" s="146" t="s">
        <v>5669</v>
      </c>
      <c r="AB571" s="148" t="s">
        <v>738</v>
      </c>
      <c r="AC571" s="148" t="s">
        <v>3473</v>
      </c>
      <c r="AD571" s="146" t="s">
        <v>3474</v>
      </c>
      <c r="AE571" s="184" t="str">
        <f>OBRA!Y569</f>
        <v xml:space="preserve">ING. ENRIQUE ENRÍQUEZ VÁZQUEZ </v>
      </c>
      <c r="AF571" s="19">
        <v>12445.58</v>
      </c>
      <c r="AG571" s="2" t="s">
        <v>1548</v>
      </c>
      <c r="AH571" s="607">
        <f t="shared" si="39"/>
        <v>34.916317278905446</v>
      </c>
      <c r="AI571" s="2">
        <v>200</v>
      </c>
      <c r="AJ571" s="514">
        <v>11000</v>
      </c>
      <c r="AK571" s="514"/>
      <c r="AL571" s="1551">
        <v>20.287118</v>
      </c>
      <c r="AM571" s="1552">
        <v>103.42209699999999</v>
      </c>
      <c r="AN571" s="565"/>
      <c r="AO571" s="565"/>
      <c r="AP571" s="565"/>
      <c r="AQ571" s="507"/>
      <c r="AR571" s="507"/>
      <c r="AS571" s="1292"/>
      <c r="AT571" s="1849"/>
      <c r="AU571" s="1849"/>
      <c r="AV571" s="1849"/>
      <c r="AW571" s="1849"/>
      <c r="AX571" s="1849"/>
      <c r="AY571" s="1849"/>
      <c r="AZ571" s="1849"/>
      <c r="BA571" s="1849"/>
      <c r="BB571" s="1718"/>
      <c r="BC571" s="1718"/>
      <c r="BD571" s="1718"/>
      <c r="BE571" s="1718"/>
      <c r="BF571" s="1718"/>
      <c r="BG571" s="1718"/>
      <c r="BH571" s="1718"/>
      <c r="BI571" s="413"/>
      <c r="BJ571" s="12"/>
    </row>
    <row r="572" spans="1:62" ht="210.75" hidden="1" customHeight="1">
      <c r="A572" s="16">
        <f>OBRA!K570</f>
        <v>2021</v>
      </c>
      <c r="B572" s="1444" t="s">
        <v>2094</v>
      </c>
      <c r="C572" s="781">
        <f>OBRA!L570</f>
        <v>215006</v>
      </c>
      <c r="D572" s="1593"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3798</v>
      </c>
      <c r="L572" s="1348" t="s">
        <v>6249</v>
      </c>
      <c r="M572" s="3" t="s">
        <v>4104</v>
      </c>
      <c r="N572" s="3" t="s">
        <v>2580</v>
      </c>
      <c r="O572" s="505" t="s">
        <v>3509</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3476</v>
      </c>
      <c r="Z572" s="146" t="str">
        <f>OBRA!X570</f>
        <v xml:space="preserve">SERVICIOS Y CONSTRUCCIONES NATENIO, S.A. DE C.V. </v>
      </c>
      <c r="AA572" s="146" t="s">
        <v>5669</v>
      </c>
      <c r="AB572" s="148" t="s">
        <v>2808</v>
      </c>
      <c r="AC572" s="148" t="s">
        <v>2809</v>
      </c>
      <c r="AD572" s="146" t="s">
        <v>2972</v>
      </c>
      <c r="AE572" s="184" t="str">
        <f>OBRA!Y570</f>
        <v>ING. VICTOR MANUEL PACHECO AZCONA</v>
      </c>
      <c r="AF572" s="19">
        <f>370*2</f>
        <v>740</v>
      </c>
      <c r="AG572" s="2" t="s">
        <v>1548</v>
      </c>
      <c r="AH572" s="607">
        <f t="shared" si="39"/>
        <v>1675.539283783784</v>
      </c>
      <c r="AI572" s="2">
        <v>200</v>
      </c>
      <c r="AJ572" s="514">
        <v>11000</v>
      </c>
      <c r="AK572" s="514"/>
      <c r="AL572" s="1551">
        <v>20.287731000000001</v>
      </c>
      <c r="AM572" s="1552">
        <v>103.418091</v>
      </c>
      <c r="AN572" s="563" t="s">
        <v>4208</v>
      </c>
      <c r="AO572" s="565"/>
      <c r="AP572" s="563" t="s">
        <v>4208</v>
      </c>
      <c r="AQ572" s="507"/>
      <c r="AR572" s="507"/>
      <c r="AS572" s="1535" t="s">
        <v>4208</v>
      </c>
      <c r="AT572" s="1869">
        <v>511763.66</v>
      </c>
      <c r="AU572" s="1869">
        <v>0</v>
      </c>
      <c r="AV572" s="1869">
        <v>511763.66</v>
      </c>
      <c r="AW572" s="1869">
        <v>0</v>
      </c>
      <c r="AX572" s="1869">
        <v>0</v>
      </c>
      <c r="AY572" s="1869">
        <v>154678.49</v>
      </c>
      <c r="AZ572" s="1869">
        <v>0</v>
      </c>
      <c r="BA572" s="1869">
        <v>0</v>
      </c>
      <c r="BB572" s="2">
        <v>99</v>
      </c>
      <c r="BC572" s="2">
        <v>0</v>
      </c>
      <c r="BD572" s="2">
        <v>85</v>
      </c>
      <c r="BE572" s="2">
        <v>0</v>
      </c>
      <c r="BF572" s="2">
        <v>0</v>
      </c>
      <c r="BG572" s="2">
        <v>234.16</v>
      </c>
      <c r="BH572" s="413">
        <v>0</v>
      </c>
      <c r="BI572" s="413"/>
      <c r="BJ572" s="12"/>
    </row>
    <row r="573" spans="1:62" s="1072" customFormat="1" ht="61.5" hidden="1" customHeight="1">
      <c r="A573" s="535">
        <f>OBRA!K571</f>
        <v>2021</v>
      </c>
      <c r="B573" s="1520" t="s">
        <v>2094</v>
      </c>
      <c r="C573" s="781">
        <f>OBRA!L571</f>
        <v>215007</v>
      </c>
      <c r="D573" s="1591"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4104</v>
      </c>
      <c r="N573" s="106" t="s">
        <v>2580</v>
      </c>
      <c r="O573" s="1530" t="s">
        <v>3509</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3470</v>
      </c>
      <c r="Z573" s="1526" t="str">
        <f>OBRA!X571</f>
        <v xml:space="preserve">SERVICIOS Y CONSTRUCCIONES NATENIO, S.A. DE C.V. </v>
      </c>
      <c r="AA573" s="1526" t="s">
        <v>5669</v>
      </c>
      <c r="AB573" s="1532" t="s">
        <v>2808</v>
      </c>
      <c r="AC573" s="1532" t="s">
        <v>2809</v>
      </c>
      <c r="AD573" s="1526" t="s">
        <v>2972</v>
      </c>
      <c r="AE573" s="1527" t="str">
        <f>OBRA!Y571</f>
        <v>ING. VICTOR MANUEL PACHECO AZCONA</v>
      </c>
      <c r="AF573" s="834"/>
      <c r="AG573" s="187" t="s">
        <v>1548</v>
      </c>
      <c r="AH573" s="1527" t="e">
        <f t="shared" si="39"/>
        <v>#DIV/0!</v>
      </c>
      <c r="AI573" s="187"/>
      <c r="AJ573" s="517"/>
      <c r="AK573" s="517"/>
      <c r="AL573" s="1585">
        <v>20.287731000000001</v>
      </c>
      <c r="AM573" s="1586">
        <v>103.418091</v>
      </c>
      <c r="AN573" s="1533"/>
      <c r="AO573" s="1533"/>
      <c r="AP573" s="1533"/>
      <c r="AQ573" s="517"/>
      <c r="AR573" s="517"/>
      <c r="AS573" s="1529"/>
      <c r="AT573" s="1847"/>
      <c r="AU573" s="1847"/>
      <c r="AV573" s="1847"/>
      <c r="AW573" s="1847"/>
      <c r="AX573" s="1847"/>
      <c r="AY573" s="1847"/>
      <c r="AZ573" s="1847"/>
      <c r="BA573" s="1847"/>
      <c r="BB573" s="1847"/>
      <c r="BC573" s="1847"/>
      <c r="BD573" s="1847"/>
      <c r="BE573" s="1847"/>
      <c r="BF573" s="1847"/>
      <c r="BG573" s="1847"/>
      <c r="BH573" s="1847"/>
      <c r="BI573" s="1521"/>
      <c r="BJ573" s="1503"/>
    </row>
    <row r="574" spans="1:62" ht="224.25" hidden="1" customHeight="1">
      <c r="A574" s="16">
        <f>OBRA!K572</f>
        <v>2021</v>
      </c>
      <c r="B574" s="781" t="s">
        <v>2094</v>
      </c>
      <c r="C574" s="781">
        <f>OBRA!L572</f>
        <v>215008</v>
      </c>
      <c r="D574" s="1588"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3798</v>
      </c>
      <c r="L574" s="1348" t="s">
        <v>6249</v>
      </c>
      <c r="M574" s="3" t="s">
        <v>4105</v>
      </c>
      <c r="N574" s="3" t="s">
        <v>2580</v>
      </c>
      <c r="O574" s="505" t="s">
        <v>3509</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3477</v>
      </c>
      <c r="Z574" s="146" t="str">
        <f>OBRA!X572</f>
        <v xml:space="preserve">DESARROLLO DAP S.A. DE C.V. </v>
      </c>
      <c r="AA574" s="146" t="s">
        <v>5669</v>
      </c>
      <c r="AB574" s="148" t="s">
        <v>3478</v>
      </c>
      <c r="AC574" s="2" t="s">
        <v>2943</v>
      </c>
      <c r="AD574" s="146" t="s">
        <v>3364</v>
      </c>
      <c r="AE574" s="184" t="str">
        <f>OBRA!Y572</f>
        <v>ING. VICTOR MANUEL PACHECO AZCONA</v>
      </c>
      <c r="AF574" s="19">
        <v>2593.23</v>
      </c>
      <c r="AG574" s="2" t="s">
        <v>1548</v>
      </c>
      <c r="AH574" s="607">
        <f t="shared" si="39"/>
        <v>430.68050654974689</v>
      </c>
      <c r="AI574" s="2">
        <v>500</v>
      </c>
      <c r="AJ574" s="514">
        <v>11000</v>
      </c>
      <c r="AK574" s="514"/>
      <c r="AL574" s="1551">
        <v>20.287754</v>
      </c>
      <c r="AM574" s="1552">
        <v>103.416543</v>
      </c>
      <c r="AN574" s="563" t="s">
        <v>4209</v>
      </c>
      <c r="AO574" s="563" t="s">
        <v>4209</v>
      </c>
      <c r="AP574" s="563" t="s">
        <v>4209</v>
      </c>
      <c r="AQ574" s="502" t="s">
        <v>4209</v>
      </c>
      <c r="AR574" s="502"/>
      <c r="AS574" s="1535" t="s">
        <v>4209</v>
      </c>
      <c r="AT574" s="1856">
        <v>543701.30000000005</v>
      </c>
      <c r="AU574" s="1856">
        <v>0</v>
      </c>
      <c r="AV574" s="1856">
        <v>747791.38</v>
      </c>
      <c r="AW574" s="1856">
        <v>0</v>
      </c>
      <c r="AX574" s="1856">
        <v>0</v>
      </c>
      <c r="AY574" s="1856">
        <v>0</v>
      </c>
      <c r="AZ574" s="1856">
        <v>0</v>
      </c>
      <c r="BA574" s="1856">
        <v>0</v>
      </c>
      <c r="BB574" s="25">
        <v>297.58</v>
      </c>
      <c r="BC574" s="25">
        <v>0</v>
      </c>
      <c r="BD574" s="25">
        <v>424.5</v>
      </c>
      <c r="BE574" s="25">
        <v>0</v>
      </c>
      <c r="BF574" s="25">
        <v>0</v>
      </c>
      <c r="BG574" s="25">
        <v>0</v>
      </c>
      <c r="BH574" s="25">
        <v>0</v>
      </c>
      <c r="BI574" s="413" t="s">
        <v>550</v>
      </c>
      <c r="BJ574" s="12"/>
    </row>
    <row r="575" spans="1:62" ht="90" hidden="1" customHeight="1">
      <c r="A575" s="16">
        <f>OBRA!K573</f>
        <v>2021</v>
      </c>
      <c r="B575" s="1444" t="s">
        <v>2094</v>
      </c>
      <c r="C575" s="781">
        <f>OBRA!L573</f>
        <v>215009</v>
      </c>
      <c r="D575" s="1593"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4458</v>
      </c>
      <c r="L575" s="3" t="s">
        <v>6254</v>
      </c>
      <c r="M575" s="3" t="s">
        <v>4105</v>
      </c>
      <c r="N575" s="3" t="s">
        <v>2580</v>
      </c>
      <c r="O575" s="505" t="s">
        <v>3801</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3480</v>
      </c>
      <c r="Z575" s="146" t="str">
        <f>OBRA!X573</f>
        <v xml:space="preserve">DESARROLLO DAP S.A. DE C.V. </v>
      </c>
      <c r="AA575" s="146" t="s">
        <v>5669</v>
      </c>
      <c r="AB575" s="148" t="s">
        <v>3478</v>
      </c>
      <c r="AC575" s="148" t="s">
        <v>2943</v>
      </c>
      <c r="AD575" s="146" t="s">
        <v>3364</v>
      </c>
      <c r="AE575" s="184" t="str">
        <f>OBRA!Y573</f>
        <v>ING. VICTOR MANUEL PACHECO AZCONA</v>
      </c>
      <c r="AF575" s="212">
        <v>2523.9299999999998</v>
      </c>
      <c r="AG575" s="389" t="s">
        <v>1548</v>
      </c>
      <c r="AH575" s="663">
        <f t="shared" si="39"/>
        <v>586.76098386246849</v>
      </c>
      <c r="AI575" s="2">
        <v>1000</v>
      </c>
      <c r="AJ575" s="514">
        <v>5000</v>
      </c>
      <c r="AK575" s="514"/>
      <c r="AL575" s="1551">
        <v>20.287754</v>
      </c>
      <c r="AM575" s="1552">
        <v>103.416543</v>
      </c>
      <c r="AN575" s="565" t="s">
        <v>4459</v>
      </c>
      <c r="AO575" s="565" t="s">
        <v>4459</v>
      </c>
      <c r="AP575" s="565" t="s">
        <v>4459</v>
      </c>
      <c r="AQ575" s="1569" t="s">
        <v>4459</v>
      </c>
      <c r="AR575" s="1569"/>
      <c r="AS575" s="1534" t="s">
        <v>4459</v>
      </c>
      <c r="AT575" s="1869">
        <v>0</v>
      </c>
      <c r="AU575" s="1869">
        <v>0</v>
      </c>
      <c r="AV575" s="1869">
        <v>0</v>
      </c>
      <c r="AW575" s="1869">
        <v>0</v>
      </c>
      <c r="AX575" s="1869">
        <v>0</v>
      </c>
      <c r="AY575" s="1869">
        <v>531835.17000000004</v>
      </c>
      <c r="AZ575" s="1869">
        <v>0</v>
      </c>
      <c r="BA575" s="1869">
        <v>1725023.34</v>
      </c>
      <c r="BB575" s="2">
        <v>0</v>
      </c>
      <c r="BC575" s="2">
        <v>0</v>
      </c>
      <c r="BD575" s="2">
        <v>0</v>
      </c>
      <c r="BE575" s="2">
        <v>0</v>
      </c>
      <c r="BF575" s="2">
        <v>0</v>
      </c>
      <c r="BG575" s="2">
        <v>1281.5999999999999</v>
      </c>
      <c r="BH575" s="413">
        <v>0</v>
      </c>
      <c r="BI575" s="413"/>
      <c r="BJ575" s="12"/>
    </row>
    <row r="576" spans="1:62" ht="91.5" hidden="1" customHeight="1">
      <c r="A576" s="16">
        <f>OBRA!K574</f>
        <v>2021</v>
      </c>
      <c r="B576" s="1444" t="s">
        <v>2094</v>
      </c>
      <c r="C576" s="781">
        <f>OBRA!L574</f>
        <v>215010</v>
      </c>
      <c r="D576" s="1594" t="s">
        <v>550</v>
      </c>
      <c r="E576" s="413" t="str">
        <f>OBRA!N574</f>
        <v>FOCOCI</v>
      </c>
      <c r="F576" s="697" t="s">
        <v>3808</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6249</v>
      </c>
      <c r="M576" s="3" t="s">
        <v>4106</v>
      </c>
      <c r="N576" s="3" t="s">
        <v>1975</v>
      </c>
      <c r="O576" s="505" t="s">
        <v>3801</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3926</v>
      </c>
      <c r="Z576" s="146" t="str">
        <f>OBRA!X574</f>
        <v>ALSERCON SA DE CV</v>
      </c>
      <c r="AA576" s="146" t="s">
        <v>5669</v>
      </c>
      <c r="AB576" s="148" t="s">
        <v>2164</v>
      </c>
      <c r="AC576" s="148" t="s">
        <v>2165</v>
      </c>
      <c r="AD576" s="146" t="s">
        <v>3367</v>
      </c>
      <c r="AE576" s="184" t="str">
        <f>OBRA!Y574</f>
        <v>ARQ. JAIME CONDE GOMEZ</v>
      </c>
      <c r="AF576" s="212">
        <v>3357.6</v>
      </c>
      <c r="AG576" s="389" t="s">
        <v>1548</v>
      </c>
      <c r="AH576" s="663">
        <f t="shared" si="39"/>
        <v>1489.1589230402669</v>
      </c>
      <c r="AI576" s="2">
        <v>500</v>
      </c>
      <c r="AJ576" s="514">
        <v>6000</v>
      </c>
      <c r="AK576" s="514"/>
      <c r="AL576" s="1551">
        <v>20.288573</v>
      </c>
      <c r="AM576" s="1552">
        <v>103.436711</v>
      </c>
      <c r="AN576" s="1247" t="s">
        <v>3845</v>
      </c>
      <c r="AO576" s="1247" t="s">
        <v>3845</v>
      </c>
      <c r="AP576" s="1247" t="s">
        <v>3845</v>
      </c>
      <c r="AQ576" s="1248" t="s">
        <v>3845</v>
      </c>
      <c r="AR576" s="1248"/>
      <c r="AS576" s="1248" t="s">
        <v>3845</v>
      </c>
      <c r="AT576" s="1869">
        <f>402167.24*1.16</f>
        <v>466513.99839999998</v>
      </c>
      <c r="AU576" s="1869">
        <v>0</v>
      </c>
      <c r="AV576" s="1869">
        <f>546438.66*1.16</f>
        <v>633868.8456</v>
      </c>
      <c r="AW576" s="1869">
        <v>0</v>
      </c>
      <c r="AX576" s="1869">
        <f>3271347.32*1.16</f>
        <v>3794762.8911999995</v>
      </c>
      <c r="AY576" s="1869">
        <f>455153.6*1.16</f>
        <v>527978.17599999998</v>
      </c>
      <c r="AZ576" s="1869">
        <v>0</v>
      </c>
      <c r="BA576" s="1869">
        <v>0</v>
      </c>
      <c r="BB576" s="2">
        <v>419.7</v>
      </c>
      <c r="BC576" s="2">
        <v>0</v>
      </c>
      <c r="BD576" s="2">
        <v>419.7</v>
      </c>
      <c r="BE576" s="2">
        <v>0</v>
      </c>
      <c r="BF576" s="2">
        <v>3357.6</v>
      </c>
      <c r="BG576" s="2">
        <v>839.4</v>
      </c>
      <c r="BH576" s="413">
        <v>0</v>
      </c>
      <c r="BI576" s="413"/>
      <c r="BJ576" s="12"/>
    </row>
    <row r="577" spans="1:62" ht="67.5" hidden="1" customHeight="1">
      <c r="A577" s="16">
        <f>OBRA!K575</f>
        <v>2021</v>
      </c>
      <c r="B577" s="1444" t="s">
        <v>2094</v>
      </c>
      <c r="C577" s="781">
        <f>OBRA!L575</f>
        <v>215011</v>
      </c>
      <c r="D577" s="1594" t="s">
        <v>550</v>
      </c>
      <c r="E577" s="413" t="str">
        <f>OBRA!N575</f>
        <v>FOCOCI</v>
      </c>
      <c r="F577" s="697" t="s">
        <v>3808</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6255</v>
      </c>
      <c r="M577" s="3" t="s">
        <v>3737</v>
      </c>
      <c r="N577" s="3" t="s">
        <v>3626</v>
      </c>
      <c r="O577" s="505" t="s">
        <v>3632</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3741</v>
      </c>
      <c r="Z577" s="146" t="str">
        <f>OBRA!X575</f>
        <v>COREGO CONSTRUCCIONES, S.A. DE C.V.</v>
      </c>
      <c r="AA577" s="146" t="s">
        <v>5669</v>
      </c>
      <c r="AB577" s="148" t="s">
        <v>3738</v>
      </c>
      <c r="AC577" s="148" t="s">
        <v>3739</v>
      </c>
      <c r="AD577" s="146" t="s">
        <v>3740</v>
      </c>
      <c r="AE577" s="184" t="str">
        <f>OBRA!Y575</f>
        <v xml:space="preserve">ING. ENRIQUE ENRÍQUEZ VÁZQUEZ </v>
      </c>
      <c r="AF577" s="212">
        <v>17929</v>
      </c>
      <c r="AG577" s="389" t="s">
        <v>1548</v>
      </c>
      <c r="AH577" s="663">
        <f t="shared" si="39"/>
        <v>223.10223659992192</v>
      </c>
      <c r="AI577" s="2">
        <v>2000</v>
      </c>
      <c r="AJ577" s="514">
        <v>4000</v>
      </c>
      <c r="AK577" s="514"/>
      <c r="AL577" s="1551">
        <v>20.323613000000002</v>
      </c>
      <c r="AM577" s="1552">
        <v>103.487735</v>
      </c>
      <c r="AN577" s="565" t="s">
        <v>4460</v>
      </c>
      <c r="AO577" s="565"/>
      <c r="AP577" s="565"/>
      <c r="AQ577" s="507"/>
      <c r="AR577" s="507"/>
      <c r="AS577" s="1292"/>
      <c r="AT577" s="1849"/>
      <c r="AU577" s="1849"/>
      <c r="AV577" s="1849"/>
      <c r="AW577" s="1849"/>
      <c r="AX577" s="1849"/>
      <c r="AY577" s="1849"/>
      <c r="AZ577" s="1849"/>
      <c r="BA577" s="1849"/>
      <c r="BB577" s="1718"/>
      <c r="BC577" s="1718"/>
      <c r="BD577" s="1718"/>
      <c r="BE577" s="1718"/>
      <c r="BF577" s="1718"/>
      <c r="BG577" s="1718"/>
      <c r="BH577" s="1718"/>
      <c r="BI577" s="413"/>
      <c r="BJ577" s="12"/>
    </row>
    <row r="578" spans="1:62" s="1072" customFormat="1" ht="133.5" hidden="1" customHeight="1">
      <c r="A578" s="535">
        <f>OBRA!K576</f>
        <v>2021</v>
      </c>
      <c r="B578" s="1520" t="s">
        <v>2094</v>
      </c>
      <c r="C578" s="781">
        <f>OBRA!L576</f>
        <v>215012</v>
      </c>
      <c r="D578" s="1589"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3634</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5668</v>
      </c>
      <c r="AB578" s="1532" t="str">
        <f>Z578</f>
        <v>JESSICA MONSERRAT RIVERA TORRES</v>
      </c>
      <c r="AC578" s="187" t="s">
        <v>4445</v>
      </c>
      <c r="AD578" s="187" t="s">
        <v>4445</v>
      </c>
      <c r="AE578" s="1527">
        <f>OBRA!Y576</f>
        <v>0</v>
      </c>
      <c r="AF578" s="834"/>
      <c r="AG578" s="187"/>
      <c r="AH578" s="1527" t="e">
        <f t="shared" si="39"/>
        <v>#DIV/0!</v>
      </c>
      <c r="AI578" s="187"/>
      <c r="AJ578" s="517"/>
      <c r="AK578" s="517"/>
      <c r="AL578" s="1549"/>
      <c r="AM578" s="1550"/>
      <c r="AN578" s="1533"/>
      <c r="AO578" s="1533"/>
      <c r="AP578" s="1533"/>
      <c r="AQ578" s="517"/>
      <c r="AR578" s="517"/>
      <c r="AS578" s="1529"/>
      <c r="AT578" s="1847"/>
      <c r="AU578" s="1847"/>
      <c r="AV578" s="1847"/>
      <c r="AW578" s="1847"/>
      <c r="AX578" s="1847"/>
      <c r="AY578" s="1847"/>
      <c r="AZ578" s="1847"/>
      <c r="BA578" s="1847"/>
      <c r="BB578" s="1847"/>
      <c r="BC578" s="1847"/>
      <c r="BD578" s="1847"/>
      <c r="BE578" s="1847"/>
      <c r="BF578" s="1847"/>
      <c r="BG578" s="1847"/>
      <c r="BH578" s="1847"/>
      <c r="BI578" s="1521"/>
      <c r="BJ578" s="1503"/>
    </row>
    <row r="579" spans="1:62" ht="129.75" hidden="1" customHeight="1">
      <c r="A579" s="16">
        <f>OBRA!K577</f>
        <v>2021</v>
      </c>
      <c r="B579" s="1444" t="s">
        <v>2094</v>
      </c>
      <c r="C579" s="781">
        <f>OBRA!L577</f>
        <v>215013</v>
      </c>
      <c r="D579" s="1593"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3880</v>
      </c>
      <c r="L579" s="173" t="s">
        <v>6255</v>
      </c>
      <c r="M579" s="3" t="s">
        <v>3635</v>
      </c>
      <c r="N579" s="3" t="s">
        <v>3626</v>
      </c>
      <c r="O579" s="505" t="s">
        <v>3632</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3925</v>
      </c>
      <c r="Z579" s="146" t="str">
        <f>OBRA!X577</f>
        <v xml:space="preserve">INFRAESTRUCTURA Y EDIFICACIONES OROZCO S.A. DE C.V. </v>
      </c>
      <c r="AA579" s="146" t="s">
        <v>5669</v>
      </c>
      <c r="AB579" s="148" t="s">
        <v>3882</v>
      </c>
      <c r="AC579" s="2" t="s">
        <v>2890</v>
      </c>
      <c r="AD579" s="146" t="s">
        <v>3883</v>
      </c>
      <c r="AE579" s="184" t="str">
        <f>OBRA!Y577</f>
        <v xml:space="preserve">ING. ENRIQUE ENRÍQUEZ VÁZQUEZ </v>
      </c>
      <c r="AF579" s="212">
        <v>1768</v>
      </c>
      <c r="AG579" s="389" t="s">
        <v>1548</v>
      </c>
      <c r="AH579" s="655">
        <f t="shared" si="39"/>
        <v>410.4860972850679</v>
      </c>
      <c r="AI579" s="2">
        <v>2000</v>
      </c>
      <c r="AJ579" s="514">
        <v>4000</v>
      </c>
      <c r="AK579" s="514"/>
      <c r="AL579" s="1551">
        <v>20.327687999999998</v>
      </c>
      <c r="AM579" s="1552">
        <v>103.47994300000001</v>
      </c>
      <c r="AN579" s="1247" t="s">
        <v>4147</v>
      </c>
      <c r="AO579" s="1247" t="s">
        <v>4147</v>
      </c>
      <c r="AP579" s="1247" t="s">
        <v>4147</v>
      </c>
      <c r="AQ579" s="507"/>
      <c r="AR579" s="507"/>
      <c r="AS579" s="1292"/>
      <c r="AT579" s="1849"/>
      <c r="AU579" s="1849"/>
      <c r="AV579" s="1849"/>
      <c r="AW579" s="1849"/>
      <c r="AX579" s="1849"/>
      <c r="AY579" s="1849"/>
      <c r="AZ579" s="1849"/>
      <c r="BA579" s="1849"/>
      <c r="BB579" s="1718"/>
      <c r="BC579" s="1718"/>
      <c r="BD579" s="1718"/>
      <c r="BE579" s="1718"/>
      <c r="BF579" s="1718"/>
      <c r="BG579" s="1718"/>
      <c r="BH579" s="1718"/>
      <c r="BI579" s="413"/>
      <c r="BJ579" s="12"/>
    </row>
    <row r="580" spans="1:62" ht="131.25" hidden="1" customHeight="1">
      <c r="A580" s="16">
        <f>OBRA!K578</f>
        <v>2021</v>
      </c>
      <c r="B580" s="1444" t="s">
        <v>2094</v>
      </c>
      <c r="C580" s="781">
        <f>OBRA!L578</f>
        <v>215014</v>
      </c>
      <c r="D580" s="1593"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3881</v>
      </c>
      <c r="L580" s="173" t="s">
        <v>6255</v>
      </c>
      <c r="M580" s="3" t="s">
        <v>3635</v>
      </c>
      <c r="N580" s="3" t="s">
        <v>3626</v>
      </c>
      <c r="O580" s="505" t="s">
        <v>3632</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3925</v>
      </c>
      <c r="Z580" s="146" t="str">
        <f>OBRA!X578</f>
        <v>SUPERVISIÓN PROYECTOS Y LABORATORIO PARA LA CONSTRUCCIÓN, S.A. DE C.V.</v>
      </c>
      <c r="AA580" s="146" t="s">
        <v>5669</v>
      </c>
      <c r="AB580" s="148" t="s">
        <v>3886</v>
      </c>
      <c r="AC580" s="148" t="s">
        <v>3789</v>
      </c>
      <c r="AD580" s="146" t="s">
        <v>3887</v>
      </c>
      <c r="AE580" s="184" t="str">
        <f>OBRA!Y578</f>
        <v xml:space="preserve">ING. ENRIQUE ENRÍQUEZ VÁZQUEZ </v>
      </c>
      <c r="AF580" s="212">
        <v>18185.669999999998</v>
      </c>
      <c r="AG580" s="389" t="s">
        <v>1548</v>
      </c>
      <c r="AH580" s="663">
        <f t="shared" si="39"/>
        <v>51.699268160040297</v>
      </c>
      <c r="AI580" s="2">
        <v>2000</v>
      </c>
      <c r="AJ580" s="514">
        <v>4000</v>
      </c>
      <c r="AK580" s="514"/>
      <c r="AL580" s="1551">
        <v>20.327687999999998</v>
      </c>
      <c r="AM580" s="1552">
        <v>103.47994300000001</v>
      </c>
      <c r="AN580" s="565"/>
      <c r="AO580" s="565"/>
      <c r="AP580" s="565"/>
      <c r="AQ580" s="507"/>
      <c r="AR580" s="507"/>
      <c r="AS580" s="1292"/>
      <c r="AT580" s="1849"/>
      <c r="AU580" s="1849"/>
      <c r="AV580" s="1849"/>
      <c r="AW580" s="1849"/>
      <c r="AX580" s="1849"/>
      <c r="AY580" s="1849"/>
      <c r="AZ580" s="1849"/>
      <c r="BA580" s="1849"/>
      <c r="BB580" s="1718"/>
      <c r="BC580" s="1718"/>
      <c r="BD580" s="1718"/>
      <c r="BE580" s="1718"/>
      <c r="BF580" s="1718"/>
      <c r="BG580" s="1718"/>
      <c r="BH580" s="1718"/>
      <c r="BI580" s="413"/>
      <c r="BJ580" s="12"/>
    </row>
    <row r="581" spans="1:62" ht="129" hidden="1" customHeight="1">
      <c r="A581" s="16">
        <f>OBRA!K579</f>
        <v>2021</v>
      </c>
      <c r="B581" s="781" t="s">
        <v>2094</v>
      </c>
      <c r="C581" s="781">
        <f>OBRA!L579</f>
        <v>215015</v>
      </c>
      <c r="D581" s="1592"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4294</v>
      </c>
      <c r="L581" s="3" t="s">
        <v>4754</v>
      </c>
      <c r="M581" s="3" t="s">
        <v>4098</v>
      </c>
      <c r="N581" s="3" t="s">
        <v>2580</v>
      </c>
      <c r="O581" s="505" t="s">
        <v>3632</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3743</v>
      </c>
      <c r="Z581" s="146" t="str">
        <f>OBRA!X579</f>
        <v>MARCO ANTONIO PAREDES RODRÍGUEZ</v>
      </c>
      <c r="AA581" s="146" t="s">
        <v>5668</v>
      </c>
      <c r="AB581" s="148" t="str">
        <f>Z581</f>
        <v>MARCO ANTONIO PAREDES RODRÍGUEZ</v>
      </c>
      <c r="AC581" s="2" t="s">
        <v>4295</v>
      </c>
      <c r="AD581" s="2" t="s">
        <v>4296</v>
      </c>
      <c r="AE581" s="184" t="str">
        <f>OBRA!Y579</f>
        <v>ING. LUIS RIGOBERTO OLMEDO NAVARRO</v>
      </c>
      <c r="AF581" s="19">
        <v>1</v>
      </c>
      <c r="AG581" s="2" t="s">
        <v>1462</v>
      </c>
      <c r="AH581" s="607">
        <f t="shared" si="39"/>
        <v>347784.24</v>
      </c>
      <c r="AI581" s="2">
        <v>22000</v>
      </c>
      <c r="AJ581" s="514">
        <v>22000</v>
      </c>
      <c r="AK581" s="514"/>
      <c r="AL581" s="1551">
        <v>20.28668</v>
      </c>
      <c r="AM581" s="1552">
        <v>103.42398300000001</v>
      </c>
      <c r="AN581" s="563" t="s">
        <v>4293</v>
      </c>
      <c r="AO581" s="563" t="s">
        <v>4293</v>
      </c>
      <c r="AP581" s="563" t="s">
        <v>4293</v>
      </c>
      <c r="AQ581" s="502" t="s">
        <v>4293</v>
      </c>
      <c r="AR581" s="502"/>
      <c r="AS581" s="1535" t="s">
        <v>4293</v>
      </c>
      <c r="AT581" s="1849"/>
      <c r="AU581" s="1849"/>
      <c r="AV581" s="1849"/>
      <c r="AW581" s="1849"/>
      <c r="AX581" s="1849"/>
      <c r="AY581" s="1849"/>
      <c r="AZ581" s="1849"/>
      <c r="BA581" s="1849"/>
      <c r="BB581" s="1718"/>
      <c r="BC581" s="1718"/>
      <c r="BD581" s="1718"/>
      <c r="BE581" s="1718"/>
      <c r="BF581" s="1718"/>
      <c r="BG581" s="1718"/>
      <c r="BH581" s="1718"/>
      <c r="BI581" s="413" t="s">
        <v>550</v>
      </c>
      <c r="BJ581" s="12"/>
    </row>
    <row r="582" spans="1:62" ht="123" hidden="1" customHeight="1">
      <c r="A582" s="16">
        <f>OBRA!K580</f>
        <v>2021</v>
      </c>
      <c r="B582" s="781" t="s">
        <v>2094</v>
      </c>
      <c r="C582" s="781">
        <f>OBRA!L580</f>
        <v>215016</v>
      </c>
      <c r="D582" s="1588"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4287</v>
      </c>
      <c r="L582" s="3" t="s">
        <v>4754</v>
      </c>
      <c r="M582" s="3" t="s">
        <v>3746</v>
      </c>
      <c r="N582" s="3" t="s">
        <v>1975</v>
      </c>
      <c r="O582" s="505" t="s">
        <v>3632</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3747</v>
      </c>
      <c r="Z582" s="146" t="str">
        <f>OBRA!X580</f>
        <v>CONVADI, S.A. DE C.V.</v>
      </c>
      <c r="AA582" s="146" t="s">
        <v>5669</v>
      </c>
      <c r="AB582" s="148" t="s">
        <v>3748</v>
      </c>
      <c r="AC582" s="2" t="s">
        <v>3340</v>
      </c>
      <c r="AD582" s="2" t="s">
        <v>3341</v>
      </c>
      <c r="AE582" s="184" t="str">
        <f>OBRA!Y580</f>
        <v>ING. ALEJANDRO SIGALA MOLINA</v>
      </c>
      <c r="AF582" s="19">
        <v>1</v>
      </c>
      <c r="AG582" s="2" t="s">
        <v>1462</v>
      </c>
      <c r="AH582" s="554">
        <f t="shared" si="39"/>
        <v>1083547.77</v>
      </c>
      <c r="AI582" s="2">
        <v>22000</v>
      </c>
      <c r="AJ582" s="514">
        <v>22000</v>
      </c>
      <c r="AK582" s="514"/>
      <c r="AL582" s="1551">
        <v>20.291990999999999</v>
      </c>
      <c r="AM582" s="1552">
        <v>103.42882400000001</v>
      </c>
      <c r="AN582" s="563" t="s">
        <v>4286</v>
      </c>
      <c r="AO582" s="563" t="s">
        <v>4286</v>
      </c>
      <c r="AP582" s="563" t="s">
        <v>4286</v>
      </c>
      <c r="AQ582" s="502" t="s">
        <v>4286</v>
      </c>
      <c r="AR582" s="502"/>
      <c r="AS582" s="1535" t="s">
        <v>4286</v>
      </c>
      <c r="AT582" s="1849"/>
      <c r="AU582" s="1849"/>
      <c r="AV582" s="1849"/>
      <c r="AW582" s="1849"/>
      <c r="AX582" s="1849"/>
      <c r="AY582" s="1849"/>
      <c r="AZ582" s="1849"/>
      <c r="BA582" s="1849"/>
      <c r="BB582" s="1718"/>
      <c r="BC582" s="1718"/>
      <c r="BD582" s="1718"/>
      <c r="BE582" s="1718"/>
      <c r="BF582" s="1718"/>
      <c r="BG582" s="1718"/>
      <c r="BH582" s="1718"/>
      <c r="BI582" s="413" t="s">
        <v>550</v>
      </c>
      <c r="BJ582" s="12"/>
    </row>
    <row r="583" spans="1:62" ht="90" hidden="1" customHeight="1">
      <c r="A583" s="16">
        <f>OBRA!K581</f>
        <v>2021</v>
      </c>
      <c r="B583" s="1444" t="s">
        <v>2094</v>
      </c>
      <c r="C583" s="781">
        <f>OBRA!L581</f>
        <v>215017</v>
      </c>
      <c r="D583" s="1593"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4298</v>
      </c>
      <c r="L583" s="3" t="s">
        <v>6242</v>
      </c>
      <c r="M583" s="3" t="s">
        <v>2002</v>
      </c>
      <c r="N583" s="3" t="s">
        <v>1975</v>
      </c>
      <c r="O583" s="505" t="s">
        <v>3632</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4299</v>
      </c>
      <c r="Z583" s="146" t="str">
        <f>OBRA!X581</f>
        <v>GRUPO ARANGE, S.A. DE C.V.</v>
      </c>
      <c r="AA583" s="146" t="s">
        <v>5669</v>
      </c>
      <c r="AB583" s="148" t="s">
        <v>4300</v>
      </c>
      <c r="AC583" s="146" t="s">
        <v>2886</v>
      </c>
      <c r="AD583" s="146" t="s">
        <v>4301</v>
      </c>
      <c r="AE583" s="184" t="str">
        <f>OBRA!Y581</f>
        <v>LIC. SALVADOR CONTRERAS OLGUÍN</v>
      </c>
      <c r="AF583" s="19">
        <v>1</v>
      </c>
      <c r="AG583" s="2" t="s">
        <v>1573</v>
      </c>
      <c r="AH583" s="607">
        <f t="shared" si="39"/>
        <v>793793.33</v>
      </c>
      <c r="AI583" s="2">
        <v>2000</v>
      </c>
      <c r="AJ583" s="514">
        <v>47000</v>
      </c>
      <c r="AK583" s="514"/>
      <c r="AL583" s="1551">
        <v>20.279305999999998</v>
      </c>
      <c r="AM583" s="1552">
        <v>103.44510099999999</v>
      </c>
      <c r="AN583" s="563" t="s">
        <v>4297</v>
      </c>
      <c r="AO583" s="563" t="s">
        <v>4297</v>
      </c>
      <c r="AP583" s="563" t="s">
        <v>4297</v>
      </c>
      <c r="AQ583" s="1569"/>
      <c r="AR583" s="1569"/>
      <c r="AS583" s="1535" t="s">
        <v>4297</v>
      </c>
      <c r="AT583" s="1849"/>
      <c r="AU583" s="1849"/>
      <c r="AV583" s="1849"/>
      <c r="AW583" s="1849"/>
      <c r="AX583" s="1849"/>
      <c r="AY583" s="1849"/>
      <c r="AZ583" s="1849"/>
      <c r="BA583" s="1849"/>
      <c r="BB583" s="1718"/>
      <c r="BC583" s="1718"/>
      <c r="BD583" s="1718"/>
      <c r="BE583" s="1718"/>
      <c r="BF583" s="1718"/>
      <c r="BG583" s="1718"/>
      <c r="BH583" s="1718"/>
      <c r="BI583" s="413"/>
      <c r="BJ583" s="12"/>
    </row>
    <row r="584" spans="1:62" ht="99.75" hidden="1" customHeight="1">
      <c r="A584" s="16">
        <f>OBRA!K582</f>
        <v>2021</v>
      </c>
      <c r="B584" s="1444" t="s">
        <v>2094</v>
      </c>
      <c r="C584" s="781">
        <f>OBRA!L582</f>
        <v>215018</v>
      </c>
      <c r="D584" s="1593"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6254</v>
      </c>
      <c r="M584" s="3" t="s">
        <v>4105</v>
      </c>
      <c r="N584" s="3" t="s">
        <v>2580</v>
      </c>
      <c r="O584" s="505" t="s">
        <v>3632</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5668</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1551">
        <v>20.287754</v>
      </c>
      <c r="AM584" s="1552">
        <v>103.416543</v>
      </c>
      <c r="AN584" s="565"/>
      <c r="AO584" s="565"/>
      <c r="AP584" s="565"/>
      <c r="AQ584" s="507"/>
      <c r="AR584" s="507"/>
      <c r="AS584" s="1292"/>
      <c r="AT584" s="1869">
        <v>0</v>
      </c>
      <c r="AU584" s="1869">
        <v>0</v>
      </c>
      <c r="AV584" s="1869">
        <v>0</v>
      </c>
      <c r="AW584" s="1869">
        <v>0</v>
      </c>
      <c r="AX584" s="1869">
        <f>(302783.75+587397.11)*1.16</f>
        <v>1032609.7975999999</v>
      </c>
      <c r="AY584" s="1869">
        <f>90002.09*1.16</f>
        <v>104402.42439999999</v>
      </c>
      <c r="AZ584" s="1869">
        <v>0</v>
      </c>
      <c r="BA584" s="1869">
        <v>0</v>
      </c>
      <c r="BB584" s="2">
        <v>0</v>
      </c>
      <c r="BC584" s="2">
        <v>0</v>
      </c>
      <c r="BD584" s="2">
        <v>0</v>
      </c>
      <c r="BE584" s="2">
        <v>0</v>
      </c>
      <c r="BF584" s="2">
        <v>1574.14</v>
      </c>
      <c r="BG584" s="2">
        <v>184</v>
      </c>
      <c r="BH584" s="413">
        <v>0</v>
      </c>
      <c r="BI584" s="413"/>
      <c r="BJ584" s="12"/>
    </row>
    <row r="585" spans="1:62" ht="60" hidden="1" customHeight="1">
      <c r="A585" s="16">
        <f>OBRA!K583</f>
        <v>2021</v>
      </c>
      <c r="B585" s="1444" t="s">
        <v>3947</v>
      </c>
      <c r="C585" s="781">
        <f>OBRA!L583</f>
        <v>216001</v>
      </c>
      <c r="D585" s="1593"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6242</v>
      </c>
      <c r="M585" s="3" t="s">
        <v>4117</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4166</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1553"/>
      <c r="AM585" s="1554"/>
      <c r="AN585" s="565"/>
      <c r="AO585" s="565"/>
      <c r="AP585" s="565"/>
      <c r="AQ585" s="507"/>
      <c r="AR585" s="507"/>
      <c r="AS585" s="1292"/>
      <c r="AT585" s="1849"/>
      <c r="AU585" s="1849"/>
      <c r="AV585" s="1849"/>
      <c r="AW585" s="1849"/>
      <c r="AX585" s="1849"/>
      <c r="AY585" s="1849"/>
      <c r="AZ585" s="1849"/>
      <c r="BA585" s="1849"/>
      <c r="BB585" s="1718"/>
      <c r="BC585" s="1718"/>
      <c r="BD585" s="1718"/>
      <c r="BE585" s="1718"/>
      <c r="BF585" s="1718"/>
      <c r="BG585" s="1718"/>
      <c r="BH585" s="1718"/>
      <c r="BI585" s="413"/>
      <c r="BJ585" s="12"/>
    </row>
    <row r="586" spans="1:62" ht="60" hidden="1" customHeight="1">
      <c r="A586" s="16">
        <f>OBRA!K584</f>
        <v>2021</v>
      </c>
      <c r="B586" s="1444" t="s">
        <v>3947</v>
      </c>
      <c r="C586" s="781">
        <f>OBRA!L584</f>
        <v>216002</v>
      </c>
      <c r="D586" s="1593"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6242</v>
      </c>
      <c r="M586" s="674" t="s">
        <v>6327</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4165</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1553"/>
      <c r="AM586" s="1554"/>
      <c r="AN586" s="565"/>
      <c r="AO586" s="565"/>
      <c r="AP586" s="565"/>
      <c r="AQ586" s="507"/>
      <c r="AR586" s="507"/>
      <c r="AS586" s="1292"/>
      <c r="AT586" s="1849"/>
      <c r="AU586" s="1849"/>
      <c r="AV586" s="1849"/>
      <c r="AW586" s="1849"/>
      <c r="AX586" s="1849"/>
      <c r="AY586" s="1849"/>
      <c r="AZ586" s="1849"/>
      <c r="BA586" s="1849"/>
      <c r="BB586" s="1718"/>
      <c r="BC586" s="1718"/>
      <c r="BD586" s="1718"/>
      <c r="BE586" s="1718"/>
      <c r="BF586" s="1718"/>
      <c r="BG586" s="1718"/>
      <c r="BH586" s="1718"/>
      <c r="BI586" s="413"/>
      <c r="BJ586" s="12"/>
    </row>
    <row r="587" spans="1:62" ht="74.25" hidden="1" customHeight="1">
      <c r="A587" s="16">
        <f>OBRA!K585</f>
        <v>2021</v>
      </c>
      <c r="B587" s="1444" t="s">
        <v>3947</v>
      </c>
      <c r="C587" s="781">
        <f>OBRA!L585</f>
        <v>217001</v>
      </c>
      <c r="D587" s="1593" t="s">
        <v>550</v>
      </c>
      <c r="E587" s="413" t="str">
        <f>OBRA!N585</f>
        <v>CUENTA CORRIENTE</v>
      </c>
      <c r="F587" s="18" t="s">
        <v>1427</v>
      </c>
      <c r="G587" s="38" t="s">
        <v>2864</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5633</v>
      </c>
      <c r="L587" s="3"/>
      <c r="M587" s="3" t="s">
        <v>4118</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5669</v>
      </c>
      <c r="AB587" s="148" t="str">
        <f t="shared" ref="AB587:AB601" si="41">Z587</f>
        <v>ECCOC DE GUADALAJARA, S.A. DE C.V.</v>
      </c>
      <c r="AC587" s="1817" t="s">
        <v>4433</v>
      </c>
      <c r="AD587" s="1816" t="s">
        <v>6784</v>
      </c>
      <c r="AE587" s="554">
        <f>OBRA!Y585</f>
        <v>0</v>
      </c>
      <c r="AF587" s="19">
        <v>1</v>
      </c>
      <c r="AG587" s="2" t="s">
        <v>6780</v>
      </c>
      <c r="AH587" s="184">
        <f>P587/AF587</f>
        <v>42920</v>
      </c>
      <c r="AI587" s="2"/>
      <c r="AJ587" s="514"/>
      <c r="AK587" s="1991">
        <v>1</v>
      </c>
      <c r="AL587" s="1542"/>
      <c r="AM587" s="1543"/>
      <c r="AN587" s="565"/>
      <c r="AO587" s="565"/>
      <c r="AP587" s="565"/>
      <c r="AQ587" s="507"/>
      <c r="AR587" s="507"/>
      <c r="AS587" s="1292"/>
      <c r="AT587" s="1718"/>
      <c r="AU587" s="1718"/>
      <c r="AV587" s="1718"/>
      <c r="AW587" s="1718"/>
      <c r="AX587" s="1718"/>
      <c r="AY587" s="1718"/>
      <c r="AZ587" s="1718"/>
      <c r="BA587" s="1718"/>
      <c r="BB587" s="1718"/>
      <c r="BC587" s="1718"/>
      <c r="BD587" s="1718"/>
      <c r="BE587" s="1718"/>
      <c r="BF587" s="1718"/>
      <c r="BG587" s="1718"/>
      <c r="BH587" s="1718"/>
      <c r="BI587" s="413"/>
      <c r="BJ587" s="12"/>
    </row>
    <row r="588" spans="1:62" ht="75" hidden="1" customHeight="1">
      <c r="A588" s="16">
        <f>OBRA!K586</f>
        <v>2021</v>
      </c>
      <c r="B588" s="781" t="s">
        <v>3947</v>
      </c>
      <c r="C588" s="781">
        <f>OBRA!L586</f>
        <v>217002</v>
      </c>
      <c r="D588" s="1592" t="s">
        <v>550</v>
      </c>
      <c r="E588" s="2" t="str">
        <f>OBRA!N586</f>
        <v>CUENTA CORRIENTE</v>
      </c>
      <c r="F588" s="18" t="s">
        <v>1427</v>
      </c>
      <c r="G588" s="38" t="s">
        <v>2864</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5634</v>
      </c>
      <c r="L588" s="3"/>
      <c r="M588" s="3" t="s">
        <v>4119</v>
      </c>
      <c r="N588" s="3" t="s">
        <v>2580</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5668</v>
      </c>
      <c r="AB588" s="148" t="s">
        <v>4221</v>
      </c>
      <c r="AC588" s="146" t="s">
        <v>6785</v>
      </c>
      <c r="AD588" s="148" t="s">
        <v>6786</v>
      </c>
      <c r="AE588" s="554">
        <f>OBRA!Y586</f>
        <v>0</v>
      </c>
      <c r="AF588" s="19">
        <v>1</v>
      </c>
      <c r="AG588" s="2" t="s">
        <v>1573</v>
      </c>
      <c r="AH588" s="184">
        <f>P588/AF588</f>
        <v>5800</v>
      </c>
      <c r="AI588" s="2"/>
      <c r="AJ588" s="514"/>
      <c r="AK588" s="1991">
        <v>1</v>
      </c>
      <c r="AL588" s="1542"/>
      <c r="AM588" s="1543"/>
      <c r="AN588" s="565"/>
      <c r="AO588" s="565"/>
      <c r="AP588" s="565"/>
      <c r="AQ588" s="507"/>
      <c r="AR588" s="507"/>
      <c r="AS588" s="512"/>
      <c r="AT588" s="163"/>
      <c r="AU588" s="163"/>
      <c r="AV588" s="163"/>
      <c r="AW588" s="163"/>
      <c r="AX588" s="163"/>
      <c r="AY588" s="163"/>
      <c r="AZ588" s="163"/>
      <c r="BA588" s="163"/>
      <c r="BB588" s="163"/>
      <c r="BC588" s="163"/>
      <c r="BD588" s="163"/>
      <c r="BE588" s="163"/>
      <c r="BF588" s="163"/>
      <c r="BG588" s="163"/>
      <c r="BH588" s="163"/>
      <c r="BI588" s="33"/>
      <c r="BJ588" s="12"/>
    </row>
    <row r="589" spans="1:62" ht="193.5" hidden="1" customHeight="1">
      <c r="A589" s="16">
        <f>OBRA!K587</f>
        <v>2021</v>
      </c>
      <c r="B589" s="781" t="s">
        <v>3947</v>
      </c>
      <c r="C589" s="781">
        <f>OBRA!L587</f>
        <v>217003</v>
      </c>
      <c r="D589" s="781" t="s">
        <v>550</v>
      </c>
      <c r="E589" s="2" t="str">
        <f>OBRA!N587</f>
        <v>CUENTA CORRIENTE</v>
      </c>
      <c r="F589" s="18" t="s">
        <v>1427</v>
      </c>
      <c r="G589" s="38" t="s">
        <v>2864</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5632</v>
      </c>
      <c r="L589" s="3"/>
      <c r="M589" s="3" t="s">
        <v>4120</v>
      </c>
      <c r="N589" s="3" t="s">
        <v>2515</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5668</v>
      </c>
      <c r="AB589" s="148" t="str">
        <f t="shared" si="41"/>
        <v>ING. SERGIO CABRERA</v>
      </c>
      <c r="AC589" s="146" t="s">
        <v>1922</v>
      </c>
      <c r="AD589" s="148" t="s">
        <v>4432</v>
      </c>
      <c r="AE589" s="554">
        <f>OBRA!Y587</f>
        <v>0</v>
      </c>
      <c r="AF589" s="19">
        <v>1</v>
      </c>
      <c r="AG589" s="2" t="s">
        <v>6433</v>
      </c>
      <c r="AH589" s="184">
        <f>P589/AF589</f>
        <v>34800</v>
      </c>
      <c r="AI589" s="2"/>
      <c r="AJ589" s="514"/>
      <c r="AK589" s="1991">
        <v>1</v>
      </c>
      <c r="AL589" s="1542"/>
      <c r="AM589" s="1543"/>
      <c r="AN589" s="565"/>
      <c r="AO589" s="565"/>
      <c r="AP589" s="565"/>
      <c r="AQ589" s="507"/>
      <c r="AR589" s="507"/>
      <c r="AS589" s="512"/>
      <c r="AT589" s="507"/>
      <c r="AU589" s="507"/>
      <c r="AV589" s="507"/>
      <c r="AW589" s="507"/>
      <c r="AX589" s="507"/>
      <c r="AY589" s="507"/>
      <c r="AZ589" s="507"/>
      <c r="BA589" s="507"/>
      <c r="BB589" s="507"/>
      <c r="BC589" s="507"/>
      <c r="BD589" s="507"/>
      <c r="BE589" s="507"/>
      <c r="BF589" s="507"/>
      <c r="BG589" s="507"/>
      <c r="BH589" s="507"/>
      <c r="BI589" s="33"/>
      <c r="BJ589" s="12"/>
    </row>
    <row r="590" spans="1:62" ht="96.75" hidden="1" customHeight="1">
      <c r="A590" s="16">
        <f>OBRA!K588</f>
        <v>2021</v>
      </c>
      <c r="B590" s="781" t="s">
        <v>3947</v>
      </c>
      <c r="C590" s="781">
        <f>OBRA!L588</f>
        <v>217004</v>
      </c>
      <c r="D590" s="781" t="s">
        <v>550</v>
      </c>
      <c r="E590" s="2" t="str">
        <f>OBRA!N588</f>
        <v>CUENTA CORRIENTE</v>
      </c>
      <c r="F590" s="18" t="s">
        <v>1427</v>
      </c>
      <c r="G590" s="38" t="s">
        <v>2864</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5635</v>
      </c>
      <c r="L590" s="3"/>
      <c r="M590" s="3" t="s">
        <v>4121</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5669</v>
      </c>
      <c r="AB590" s="148" t="s">
        <v>2808</v>
      </c>
      <c r="AC590" s="146" t="s">
        <v>2809</v>
      </c>
      <c r="AD590" s="148" t="s">
        <v>6787</v>
      </c>
      <c r="AE590" s="554">
        <f>OBRA!Y588</f>
        <v>0</v>
      </c>
      <c r="AF590" s="19">
        <v>1</v>
      </c>
      <c r="AG590" s="2" t="s">
        <v>1573</v>
      </c>
      <c r="AH590" s="184">
        <f>P590/AF590</f>
        <v>28999.999999999996</v>
      </c>
      <c r="AI590" s="2"/>
      <c r="AJ590" s="514"/>
      <c r="AK590" s="1991">
        <v>1</v>
      </c>
      <c r="AL590" s="1542"/>
      <c r="AM590" s="1543"/>
      <c r="AN590" s="565"/>
      <c r="AO590" s="565"/>
      <c r="AP590" s="565"/>
      <c r="AQ590" s="507"/>
      <c r="AR590" s="507"/>
      <c r="AS590" s="512"/>
      <c r="AT590" s="507"/>
      <c r="AU590" s="507"/>
      <c r="AV590" s="507"/>
      <c r="AW590" s="507"/>
      <c r="AX590" s="507"/>
      <c r="AY590" s="507"/>
      <c r="AZ590" s="507"/>
      <c r="BA590" s="507"/>
      <c r="BB590" s="507"/>
      <c r="BC590" s="507"/>
      <c r="BD590" s="507"/>
      <c r="BE590" s="507"/>
      <c r="BF590" s="507"/>
      <c r="BG590" s="507"/>
      <c r="BH590" s="507"/>
      <c r="BI590" s="33"/>
      <c r="BJ590" s="12"/>
    </row>
    <row r="591" spans="1:62" s="1072" customFormat="1" ht="15" hidden="1" customHeight="1">
      <c r="A591" s="535">
        <f>OBRA!K589</f>
        <v>2021</v>
      </c>
      <c r="B591" s="1520" t="s">
        <v>3947</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5668</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1549"/>
      <c r="AM591" s="1550"/>
      <c r="AN591" s="1533"/>
      <c r="AO591" s="1533"/>
      <c r="AP591" s="1533"/>
      <c r="AQ591" s="517"/>
      <c r="AR591" s="517"/>
      <c r="AS591" s="1494"/>
      <c r="AT591" s="788"/>
      <c r="AU591" s="788"/>
      <c r="AV591" s="788"/>
      <c r="AW591" s="788"/>
      <c r="AX591" s="788"/>
      <c r="AY591" s="788"/>
      <c r="AZ591" s="788"/>
      <c r="BA591" s="788"/>
      <c r="BB591" s="788"/>
      <c r="BC591" s="788"/>
      <c r="BD591" s="788"/>
      <c r="BE591" s="788"/>
      <c r="BF591" s="788"/>
      <c r="BG591" s="788"/>
      <c r="BH591" s="788"/>
      <c r="BI591" s="309"/>
      <c r="BJ591" s="1503"/>
    </row>
    <row r="592" spans="1:62" ht="69.75" hidden="1" customHeight="1">
      <c r="A592" s="16">
        <f>OBRA!K590</f>
        <v>2021</v>
      </c>
      <c r="B592" s="781" t="s">
        <v>3947</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6250</v>
      </c>
      <c r="M592" s="3" t="s">
        <v>4091</v>
      </c>
      <c r="N592" s="3" t="s">
        <v>2518</v>
      </c>
      <c r="O592" s="505" t="s">
        <v>3801</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4167</v>
      </c>
      <c r="Z592" s="146" t="str">
        <f>OBRA!X590</f>
        <v>ING. SERGIO CABRERA</v>
      </c>
      <c r="AA592" s="146" t="s">
        <v>5668</v>
      </c>
      <c r="AB592" s="148" t="str">
        <f t="shared" si="41"/>
        <v>ING. SERGIO CABRERA</v>
      </c>
      <c r="AC592" s="146" t="s">
        <v>1922</v>
      </c>
      <c r="AD592" s="148" t="s">
        <v>4206</v>
      </c>
      <c r="AE592" s="184" t="str">
        <f>OBRA!Y590</f>
        <v>ING. J. GUADALUPE IBARRA RAMIREZ</v>
      </c>
      <c r="AF592" s="212">
        <v>216</v>
      </c>
      <c r="AG592" s="389" t="s">
        <v>1450</v>
      </c>
      <c r="AH592" s="625">
        <f t="shared" si="39"/>
        <v>0</v>
      </c>
      <c r="AI592" s="511"/>
      <c r="AJ592" s="507"/>
      <c r="AK592" s="507"/>
      <c r="AL592" s="1551">
        <v>20.339117999999999</v>
      </c>
      <c r="AM592" s="1552">
        <v>103.37781699999999</v>
      </c>
      <c r="AN592" s="565"/>
      <c r="AO592" s="565"/>
      <c r="AP592" s="565"/>
      <c r="AQ592" s="507"/>
      <c r="AR592" s="507"/>
      <c r="AS592" s="512"/>
      <c r="AT592" s="1869">
        <v>264854.82</v>
      </c>
      <c r="AU592" s="1869">
        <v>0</v>
      </c>
      <c r="AV592" s="1869">
        <f>715198.43-AT592</f>
        <v>450343.61000000004</v>
      </c>
      <c r="AW592" s="1869">
        <v>0</v>
      </c>
      <c r="AX592" s="1869">
        <v>0</v>
      </c>
      <c r="AY592" s="1869">
        <v>0</v>
      </c>
      <c r="AZ592" s="1869">
        <v>0</v>
      </c>
      <c r="BA592" s="1869">
        <v>0</v>
      </c>
      <c r="BB592" s="2">
        <v>225</v>
      </c>
      <c r="BC592" s="2">
        <v>0</v>
      </c>
      <c r="BD592" s="2">
        <v>225</v>
      </c>
      <c r="BE592" s="2">
        <v>0</v>
      </c>
      <c r="BF592" s="2">
        <v>0</v>
      </c>
      <c r="BG592" s="2">
        <v>0</v>
      </c>
      <c r="BH592" s="413">
        <v>0</v>
      </c>
      <c r="BI592" s="413"/>
      <c r="BJ592" s="12"/>
    </row>
    <row r="593" spans="1:62" ht="110.25" hidden="1" customHeight="1">
      <c r="A593" s="16">
        <f>OBRA!K591</f>
        <v>2021</v>
      </c>
      <c r="B593" s="781" t="s">
        <v>3947</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4205</v>
      </c>
      <c r="L593" s="1199" t="s">
        <v>4748</v>
      </c>
      <c r="M593" s="3" t="s">
        <v>4122</v>
      </c>
      <c r="N593" s="3" t="s">
        <v>2527</v>
      </c>
      <c r="O593" s="505" t="s">
        <v>3801</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4168</v>
      </c>
      <c r="Z593" s="146" t="str">
        <f>OBRA!X591</f>
        <v>ING. SERGIO CABRERA</v>
      </c>
      <c r="AA593" s="146" t="s">
        <v>5668</v>
      </c>
      <c r="AB593" s="148" t="s">
        <v>738</v>
      </c>
      <c r="AC593" s="146" t="s">
        <v>1922</v>
      </c>
      <c r="AD593" s="148" t="s">
        <v>4206</v>
      </c>
      <c r="AE593" s="184" t="str">
        <f>OBRA!Y591</f>
        <v>ING. J. GUADALUPE IBARRA RAMIREZ</v>
      </c>
      <c r="AF593" s="19">
        <v>436</v>
      </c>
      <c r="AG593" s="2" t="s">
        <v>1450</v>
      </c>
      <c r="AH593" s="607">
        <f t="shared" ref="AH593:AH624" si="42">X593/AF593</f>
        <v>796.17050458715607</v>
      </c>
      <c r="AI593" s="2">
        <v>550</v>
      </c>
      <c r="AJ593" s="514">
        <v>4000</v>
      </c>
      <c r="AK593" s="514"/>
      <c r="AL593" s="1551">
        <v>20.289048000000001</v>
      </c>
      <c r="AM593" s="1552">
        <v>103.34877899999999</v>
      </c>
      <c r="AN593" s="563" t="s">
        <v>4207</v>
      </c>
      <c r="AO593" s="565"/>
      <c r="AP593" s="563" t="s">
        <v>4207</v>
      </c>
      <c r="AQ593" s="502" t="s">
        <v>4207</v>
      </c>
      <c r="AR593" s="502"/>
      <c r="AS593" s="697" t="s">
        <v>4207</v>
      </c>
      <c r="AT593" s="1867"/>
      <c r="AU593" s="1867"/>
      <c r="AV593" s="1867"/>
      <c r="AW593" s="1867"/>
      <c r="AX593" s="1867"/>
      <c r="AY593" s="1867"/>
      <c r="AZ593" s="1867"/>
      <c r="BA593" s="1867"/>
      <c r="BB593" s="163"/>
      <c r="BC593" s="163"/>
      <c r="BD593" s="163"/>
      <c r="BE593" s="163"/>
      <c r="BF593" s="163"/>
      <c r="BG593" s="163"/>
      <c r="BH593" s="163"/>
      <c r="BI593" s="33"/>
      <c r="BJ593" s="12"/>
    </row>
    <row r="594" spans="1:62" ht="117" hidden="1" customHeight="1">
      <c r="A594" s="16">
        <f>OBRA!K592</f>
        <v>2021</v>
      </c>
      <c r="B594" s="781" t="s">
        <v>3947</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4204</v>
      </c>
      <c r="L594" s="1199" t="s">
        <v>4750</v>
      </c>
      <c r="M594" s="3" t="s">
        <v>4122</v>
      </c>
      <c r="N594" s="3" t="s">
        <v>2527</v>
      </c>
      <c r="O594" s="505" t="s">
        <v>3801</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4169</v>
      </c>
      <c r="Z594" s="146" t="str">
        <f>OBRA!X592</f>
        <v>ING. SERGIO CABRERA</v>
      </c>
      <c r="AA594" s="146" t="s">
        <v>5668</v>
      </c>
      <c r="AB594" s="148" t="s">
        <v>738</v>
      </c>
      <c r="AC594" s="146" t="s">
        <v>1922</v>
      </c>
      <c r="AD594" s="148" t="s">
        <v>4206</v>
      </c>
      <c r="AE594" s="184" t="str">
        <f>OBRA!Y592</f>
        <v>ING. J. GUADALUPE IBARRA RAMIREZ</v>
      </c>
      <c r="AF594" s="19">
        <v>510.53</v>
      </c>
      <c r="AG594" s="2" t="s">
        <v>1450</v>
      </c>
      <c r="AH594" s="607">
        <f t="shared" si="42"/>
        <v>1549.4959943588035</v>
      </c>
      <c r="AI594" s="2">
        <v>550</v>
      </c>
      <c r="AJ594" s="514">
        <v>4000</v>
      </c>
      <c r="AK594" s="514"/>
      <c r="AL594" s="1551">
        <v>20.289048000000001</v>
      </c>
      <c r="AM594" s="1552">
        <v>103.34877899999999</v>
      </c>
      <c r="AN594" s="563" t="s">
        <v>4210</v>
      </c>
      <c r="AO594" s="563" t="s">
        <v>4210</v>
      </c>
      <c r="AP594" s="563" t="s">
        <v>4210</v>
      </c>
      <c r="AQ594" s="502" t="s">
        <v>4210</v>
      </c>
      <c r="AR594" s="502"/>
      <c r="AS594" s="697" t="s">
        <v>4211</v>
      </c>
      <c r="AT594" s="1849"/>
      <c r="AU594" s="1849"/>
      <c r="AV594" s="1849"/>
      <c r="AW594" s="1849"/>
      <c r="AX594" s="1849"/>
      <c r="AY594" s="1849"/>
      <c r="AZ594" s="1849"/>
      <c r="BA594" s="1849"/>
      <c r="BB594" s="1718"/>
      <c r="BC594" s="1718"/>
      <c r="BD594" s="1718"/>
      <c r="BE594" s="1718"/>
      <c r="BF594" s="1718"/>
      <c r="BG594" s="1718"/>
      <c r="BH594" s="1718"/>
      <c r="BI594" s="33" t="s">
        <v>550</v>
      </c>
      <c r="BJ594" s="12"/>
    </row>
    <row r="595" spans="1:62" ht="64.5" hidden="1" customHeight="1">
      <c r="A595" s="16">
        <f>OBRA!K593</f>
        <v>2021</v>
      </c>
      <c r="B595" s="781" t="s">
        <v>3947</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4212</v>
      </c>
      <c r="L595" s="1199" t="s">
        <v>4751</v>
      </c>
      <c r="M595" s="3" t="s">
        <v>4123</v>
      </c>
      <c r="N595" s="3" t="s">
        <v>1975</v>
      </c>
      <c r="O595" s="505" t="s">
        <v>3801</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4170</v>
      </c>
      <c r="Z595" s="146" t="str">
        <f>OBRA!X593</f>
        <v>PLANOS Y OBRAS LODEIRO S.A. DE C.V.</v>
      </c>
      <c r="AA595" s="146" t="s">
        <v>5669</v>
      </c>
      <c r="AB595" s="148" t="s">
        <v>3469</v>
      </c>
      <c r="AC595" s="146" t="s">
        <v>3352</v>
      </c>
      <c r="AD595" s="148" t="s">
        <v>3353</v>
      </c>
      <c r="AE595" s="184" t="str">
        <f>OBRA!Y593</f>
        <v>ING. J. GUADALUPE IBARRA RAMIREZ</v>
      </c>
      <c r="AF595" s="19">
        <v>155.30000000000001</v>
      </c>
      <c r="AG595" s="2" t="s">
        <v>1548</v>
      </c>
      <c r="AH595" s="607">
        <f t="shared" si="42"/>
        <v>644.84391500321954</v>
      </c>
      <c r="AI595" s="2">
        <v>100</v>
      </c>
      <c r="AJ595" s="514">
        <v>5000</v>
      </c>
      <c r="AK595" s="514"/>
      <c r="AL595" s="1551">
        <v>20.292034999999998</v>
      </c>
      <c r="AM595" s="1552">
        <v>103.43631999999999</v>
      </c>
      <c r="AN595" s="563" t="s">
        <v>4213</v>
      </c>
      <c r="AO595" s="563" t="s">
        <v>4283</v>
      </c>
      <c r="AP595" s="563" t="s">
        <v>4213</v>
      </c>
      <c r="AQ595" s="502" t="s">
        <v>4213</v>
      </c>
      <c r="AR595" s="502"/>
      <c r="AS595" s="697" t="s">
        <v>4213</v>
      </c>
      <c r="AT595" s="1849"/>
      <c r="AU595" s="1849"/>
      <c r="AV595" s="1849"/>
      <c r="AW595" s="1849"/>
      <c r="AX595" s="1849"/>
      <c r="AY595" s="1849"/>
      <c r="AZ595" s="1849"/>
      <c r="BA595" s="1849"/>
      <c r="BB595" s="1718"/>
      <c r="BC595" s="1718"/>
      <c r="BD595" s="1718"/>
      <c r="BE595" s="1718"/>
      <c r="BF595" s="1718"/>
      <c r="BG595" s="1718"/>
      <c r="BH595" s="1718"/>
      <c r="BI595" s="33" t="s">
        <v>550</v>
      </c>
      <c r="BJ595" s="12"/>
    </row>
    <row r="596" spans="1:62" ht="84" hidden="1" customHeight="1">
      <c r="A596" s="16">
        <f>OBRA!K594</f>
        <v>2021</v>
      </c>
      <c r="B596" s="781" t="s">
        <v>3947</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4214</v>
      </c>
      <c r="L596" s="1199" t="s">
        <v>4748</v>
      </c>
      <c r="M596" s="3" t="s">
        <v>4124</v>
      </c>
      <c r="N596" s="3" t="s">
        <v>2527</v>
      </c>
      <c r="O596" s="505" t="s">
        <v>3801</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4171</v>
      </c>
      <c r="Z596" s="146" t="str">
        <f>OBRA!X594</f>
        <v>ING. SERGIO CABRERA</v>
      </c>
      <c r="AA596" s="146" t="s">
        <v>5668</v>
      </c>
      <c r="AB596" s="148" t="s">
        <v>738</v>
      </c>
      <c r="AC596" s="146" t="s">
        <v>1922</v>
      </c>
      <c r="AD596" s="148" t="s">
        <v>4206</v>
      </c>
      <c r="AE596" s="184" t="str">
        <f>OBRA!Y594</f>
        <v>ING. J. GUADALUPE IBARRA RAMIREZ</v>
      </c>
      <c r="AF596" s="19">
        <v>160</v>
      </c>
      <c r="AG596" s="2" t="s">
        <v>1450</v>
      </c>
      <c r="AH596" s="607">
        <f t="shared" si="42"/>
        <v>1579.7715625000001</v>
      </c>
      <c r="AI596" s="2">
        <v>8000</v>
      </c>
      <c r="AJ596" s="514">
        <v>8000</v>
      </c>
      <c r="AK596" s="514"/>
      <c r="AL596" s="1551">
        <v>20.287679000000001</v>
      </c>
      <c r="AM596" s="1552">
        <v>103.344832</v>
      </c>
      <c r="AN596" s="563" t="s">
        <v>4215</v>
      </c>
      <c r="AO596" s="563" t="s">
        <v>4215</v>
      </c>
      <c r="AP596" s="563" t="s">
        <v>4215</v>
      </c>
      <c r="AQ596" s="502" t="s">
        <v>4216</v>
      </c>
      <c r="AR596" s="502"/>
      <c r="AS596" s="697" t="s">
        <v>4216</v>
      </c>
      <c r="AT596" s="1849"/>
      <c r="AU596" s="1849"/>
      <c r="AV596" s="1849"/>
      <c r="AW596" s="1849"/>
      <c r="AX596" s="1849"/>
      <c r="AY596" s="1849"/>
      <c r="AZ596" s="1849"/>
      <c r="BA596" s="1849"/>
      <c r="BB596" s="1718"/>
      <c r="BC596" s="1718"/>
      <c r="BD596" s="1718"/>
      <c r="BE596" s="1718"/>
      <c r="BF596" s="1718"/>
      <c r="BG596" s="1718"/>
      <c r="BH596" s="1718"/>
      <c r="BI596" s="33" t="s">
        <v>550</v>
      </c>
      <c r="BJ596" s="12"/>
    </row>
    <row r="597" spans="1:62" ht="109.5" hidden="1" customHeight="1">
      <c r="A597" s="16">
        <f>OBRA!K595</f>
        <v>2021</v>
      </c>
      <c r="B597" s="781" t="s">
        <v>3947</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4282</v>
      </c>
      <c r="L597" s="1199" t="s">
        <v>4748</v>
      </c>
      <c r="M597" s="3" t="s">
        <v>6271</v>
      </c>
      <c r="N597" s="3" t="s">
        <v>2541</v>
      </c>
      <c r="O597" s="505" t="s">
        <v>3801</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4172</v>
      </c>
      <c r="Z597" s="146" t="str">
        <f>OBRA!X595</f>
        <v>ING. SERGIO CABRERA</v>
      </c>
      <c r="AA597" s="146" t="s">
        <v>5668</v>
      </c>
      <c r="AB597" s="148" t="str">
        <f t="shared" si="41"/>
        <v>ING. SERGIO CABRERA</v>
      </c>
      <c r="AC597" s="146" t="s">
        <v>1922</v>
      </c>
      <c r="AD597" s="148" t="s">
        <v>4285</v>
      </c>
      <c r="AE597" s="184" t="str">
        <f>OBRA!Y595</f>
        <v>C. DANIEL RODRIGUEZ VALENZUELA</v>
      </c>
      <c r="AF597" s="19">
        <v>324.42</v>
      </c>
      <c r="AG597" s="2" t="s">
        <v>1450</v>
      </c>
      <c r="AH597" s="607">
        <f t="shared" si="42"/>
        <v>1070.0029283028173</v>
      </c>
      <c r="AI597" s="2">
        <v>200</v>
      </c>
      <c r="AJ597" s="514">
        <v>1000</v>
      </c>
      <c r="AK597" s="514"/>
      <c r="AL597" s="1551">
        <v>20.288636</v>
      </c>
      <c r="AM597" s="1552">
        <v>103.413993</v>
      </c>
      <c r="AN597" s="563" t="s">
        <v>4283</v>
      </c>
      <c r="AO597" s="563" t="s">
        <v>4283</v>
      </c>
      <c r="AP597" s="563" t="s">
        <v>4283</v>
      </c>
      <c r="AQ597" s="502" t="s">
        <v>4283</v>
      </c>
      <c r="AR597" s="502"/>
      <c r="AS597" s="697" t="s">
        <v>4283</v>
      </c>
      <c r="AT597" s="1849"/>
      <c r="AU597" s="1849"/>
      <c r="AV597" s="1849"/>
      <c r="AW597" s="1849"/>
      <c r="AX597" s="1849"/>
      <c r="AY597" s="1849"/>
      <c r="AZ597" s="1849"/>
      <c r="BA597" s="1849"/>
      <c r="BB597" s="1718"/>
      <c r="BC597" s="1718"/>
      <c r="BD597" s="1718"/>
      <c r="BE597" s="1718"/>
      <c r="BF597" s="1718"/>
      <c r="BG597" s="1718"/>
      <c r="BH597" s="1718"/>
      <c r="BI597" s="33" t="s">
        <v>550</v>
      </c>
      <c r="BJ597" s="12"/>
    </row>
    <row r="598" spans="1:62" ht="78" customHeight="1" thickTop="1">
      <c r="A598" s="16">
        <f>OBRA!K596</f>
        <v>2022</v>
      </c>
      <c r="B598" s="781" t="s">
        <v>3947</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8"/>
      <c r="L598" s="1199" t="s">
        <v>6242</v>
      </c>
      <c r="M598" s="1608"/>
      <c r="N598" s="1608" t="str">
        <f>OBRA!R596</f>
        <v>-</v>
      </c>
      <c r="O598" s="1629" t="s">
        <v>5009</v>
      </c>
      <c r="P598" s="4">
        <f>OBRA!S596</f>
        <v>70000</v>
      </c>
      <c r="Q598" s="1045">
        <f t="shared" si="40"/>
        <v>60344.827586206899</v>
      </c>
      <c r="R598" s="1762"/>
      <c r="S598" s="67">
        <f>OBRA!T596</f>
        <v>44693</v>
      </c>
      <c r="T598" s="1156" t="str">
        <f>OBRA!W596</f>
        <v>NO APLICA</v>
      </c>
      <c r="U598" s="2207">
        <f>OBRA!U596</f>
        <v>44697</v>
      </c>
      <c r="V598" s="2208">
        <f>OBRA!V596</f>
        <v>44728</v>
      </c>
      <c r="W598" s="2209">
        <v>0</v>
      </c>
      <c r="X598" s="2210">
        <f>OBRA!AT596+OBRA!AU596</f>
        <v>15106.08</v>
      </c>
      <c r="Y598" s="2211" t="s">
        <v>4165</v>
      </c>
      <c r="Z598" s="2212" t="str">
        <f>OBRA!X596</f>
        <v>N/A</v>
      </c>
      <c r="AA598" s="2212" t="s">
        <v>67</v>
      </c>
      <c r="AB598" s="2213" t="str">
        <f t="shared" si="41"/>
        <v>N/A</v>
      </c>
      <c r="AC598" s="2212" t="s">
        <v>1176</v>
      </c>
      <c r="AD598" s="2213" t="s">
        <v>1176</v>
      </c>
      <c r="AE598" s="2214" t="str">
        <f>OBRA!Y596</f>
        <v>ARQ. JAIME CONDE GOMEZ</v>
      </c>
      <c r="AF598" s="2215"/>
      <c r="AG598" s="2192" t="s">
        <v>1548</v>
      </c>
      <c r="AH598" s="2216" t="e">
        <f t="shared" si="42"/>
        <v>#DIV/0!</v>
      </c>
      <c r="AI598" s="935"/>
      <c r="AJ598" s="1625"/>
      <c r="AK598" s="1625"/>
      <c r="AL598" s="1626"/>
      <c r="AM598" s="1627"/>
      <c r="AN598" s="1628" t="s">
        <v>5009</v>
      </c>
      <c r="AO598" s="563"/>
      <c r="AP598" s="563"/>
      <c r="AQ598" s="502" t="s">
        <v>5009</v>
      </c>
      <c r="AR598" s="502"/>
      <c r="AS598" s="2217"/>
      <c r="AT598" s="1852"/>
      <c r="AU598" s="1852"/>
      <c r="AV598" s="1852"/>
      <c r="AW598" s="1852"/>
      <c r="AX598" s="1852"/>
      <c r="AY598" s="1852"/>
      <c r="AZ598" s="1852"/>
      <c r="BA598" s="1852"/>
      <c r="BB598" s="507"/>
      <c r="BC598" s="507"/>
      <c r="BD598" s="507"/>
      <c r="BE598" s="507"/>
      <c r="BF598" s="507"/>
      <c r="BG598" s="507"/>
      <c r="BH598" s="507"/>
      <c r="BI598" s="33"/>
      <c r="BJ598" s="12"/>
    </row>
    <row r="599" spans="1:62" ht="66" customHeight="1">
      <c r="A599" s="2190">
        <f>OBRA!K597</f>
        <v>2022</v>
      </c>
      <c r="B599" s="2191" t="s">
        <v>3947</v>
      </c>
      <c r="C599" s="781">
        <f>OBRA!L597</f>
        <v>221001</v>
      </c>
      <c r="D599" s="781" t="s">
        <v>550</v>
      </c>
      <c r="E599" s="2192" t="str">
        <f>OBRA!N597</f>
        <v>RAMO 33</v>
      </c>
      <c r="F599" s="662" t="s">
        <v>1427</v>
      </c>
      <c r="G599" s="2193" t="s">
        <v>2209</v>
      </c>
      <c r="H599" s="2194" t="str">
        <f>OBRA!O597</f>
        <v>DOP/AD/002/2022</v>
      </c>
      <c r="I599" s="2192" t="str">
        <f>OBRA!P597</f>
        <v>ADMINISTRACIÓN DIRECTA</v>
      </c>
      <c r="J599" s="2195" t="str">
        <f>OBRA!Q597</f>
        <v>"CONSTRUCCIÓN DE BANQUETAS EN EL PUENTE 20 DE NOVIEMBRE", EN LA LOCALIDAD DE ZAPOTITÁN DE HIDALGO, DEL MUNICIPIO DE JOCOTEPEC, JALISCO.</v>
      </c>
      <c r="K599" s="2196" t="s">
        <v>4604</v>
      </c>
      <c r="L599" s="1348" t="s">
        <v>4751</v>
      </c>
      <c r="M599" s="2195" t="s">
        <v>6324</v>
      </c>
      <c r="N599" s="2195" t="str">
        <f>OBRA!R597</f>
        <v>ZAPOTITÁN DE HIDALGO</v>
      </c>
      <c r="O599" s="505" t="s">
        <v>4603</v>
      </c>
      <c r="P599" s="79">
        <f>OBRA!S597</f>
        <v>60152.28</v>
      </c>
      <c r="Q599" s="1045">
        <f t="shared" si="40"/>
        <v>51855.413793103449</v>
      </c>
      <c r="R599" s="1762"/>
      <c r="S599" s="67">
        <f>OBRA!T597</f>
        <v>44707</v>
      </c>
      <c r="T599" s="1156" t="str">
        <f>OBRA!W597</f>
        <v>NO APLICA</v>
      </c>
      <c r="U599" s="2207">
        <f>OBRA!U597</f>
        <v>44718</v>
      </c>
      <c r="V599" s="2208">
        <f>OBRA!V597</f>
        <v>44726</v>
      </c>
      <c r="W599" s="2209">
        <v>0</v>
      </c>
      <c r="X599" s="2210">
        <f>OBRA!AT597+OBRA!AU597</f>
        <v>62956.53</v>
      </c>
      <c r="Y599" s="2218" t="s">
        <v>4401</v>
      </c>
      <c r="Z599" s="2212" t="str">
        <f>OBRA!X597</f>
        <v>N/A</v>
      </c>
      <c r="AA599" s="2212" t="s">
        <v>67</v>
      </c>
      <c r="AB599" s="2213" t="str">
        <f t="shared" si="41"/>
        <v>N/A</v>
      </c>
      <c r="AC599" s="2212" t="s">
        <v>1176</v>
      </c>
      <c r="AD599" s="2213" t="s">
        <v>1176</v>
      </c>
      <c r="AE599" s="2214" t="str">
        <f>OBRA!Y597</f>
        <v>ING. LUIS RIGOBERTO OLMEDO NAVARRO</v>
      </c>
      <c r="AF599" s="2215">
        <v>70.05</v>
      </c>
      <c r="AG599" s="2192" t="s">
        <v>1548</v>
      </c>
      <c r="AH599" s="2216">
        <f t="shared" si="42"/>
        <v>898.73704496788014</v>
      </c>
      <c r="AI599" s="2192">
        <v>1000</v>
      </c>
      <c r="AJ599" s="2219">
        <v>2000</v>
      </c>
      <c r="AK599" s="1755">
        <v>1</v>
      </c>
      <c r="AL599" s="2220">
        <v>20.326066000000001</v>
      </c>
      <c r="AM599" s="2221">
        <v>103.475779</v>
      </c>
      <c r="AN599" s="563" t="s">
        <v>4603</v>
      </c>
      <c r="AO599" s="563" t="s">
        <v>4603</v>
      </c>
      <c r="AP599" s="563" t="s">
        <v>4603</v>
      </c>
      <c r="AQ599" s="502" t="s">
        <v>4603</v>
      </c>
      <c r="AR599" s="502"/>
      <c r="AS599" s="697" t="s">
        <v>4603</v>
      </c>
      <c r="AT599" s="1852"/>
      <c r="AU599" s="1852"/>
      <c r="AV599" s="1852"/>
      <c r="AW599" s="1852"/>
      <c r="AX599" s="1852"/>
      <c r="AY599" s="1852"/>
      <c r="AZ599" s="1852"/>
      <c r="BA599" s="1852"/>
      <c r="BB599" s="507"/>
      <c r="BC599" s="507"/>
      <c r="BD599" s="507"/>
      <c r="BE599" s="507"/>
      <c r="BF599" s="507"/>
      <c r="BG599" s="507"/>
      <c r="BH599" s="507"/>
      <c r="BI599" s="997" t="s">
        <v>550</v>
      </c>
      <c r="BJ599" s="12"/>
    </row>
    <row r="600" spans="1:62" ht="100.5" customHeight="1">
      <c r="A600" s="2190">
        <f>OBRA!K598</f>
        <v>2022</v>
      </c>
      <c r="B600" s="2191" t="s">
        <v>3947</v>
      </c>
      <c r="C600" s="781">
        <f>OBRA!L598</f>
        <v>221003</v>
      </c>
      <c r="D600" s="781" t="s">
        <v>550</v>
      </c>
      <c r="E600" s="2192" t="str">
        <f>OBRA!N598</f>
        <v>CUENTA CORRIENTE</v>
      </c>
      <c r="F600" s="662" t="s">
        <v>1427</v>
      </c>
      <c r="G600" s="2193" t="s">
        <v>2209</v>
      </c>
      <c r="H600" s="2194" t="str">
        <f>OBRA!O598</f>
        <v>DOP/AD/003/2022</v>
      </c>
      <c r="I600" s="2192" t="str">
        <f>OBRA!P598</f>
        <v>ADMINISTRACIÓN DIRECTA</v>
      </c>
      <c r="J600" s="2195" t="str">
        <f>OBRA!Q598</f>
        <v>“CONSTRUCCIÓN DEL TECHO DE LA SALA DE JUNTAS DEL PUNTO INOCUO DE DESEMBARQUE UBICADO DENTRO DE LAS INSTALACIONES DE LA COOPERATIVA”, EN LA LOCALIDAD DE SAN JUAN COSALÁ, DEL MUNICIPIO DE JOCOTEPEC, JALISCO</v>
      </c>
      <c r="K600" s="2196" t="s">
        <v>5890</v>
      </c>
      <c r="L600" s="1348" t="s">
        <v>6247</v>
      </c>
      <c r="M600" s="2195" t="s">
        <v>4492</v>
      </c>
      <c r="N600" s="2195" t="str">
        <f>OBRA!R598</f>
        <v>SAN JUAN COSALÁ</v>
      </c>
      <c r="O600" s="505" t="s">
        <v>5010</v>
      </c>
      <c r="P600" s="79">
        <f>OBRA!S598</f>
        <v>81200</v>
      </c>
      <c r="Q600" s="1045">
        <f t="shared" si="40"/>
        <v>70000</v>
      </c>
      <c r="R600" s="1762"/>
      <c r="S600" s="67">
        <f>OBRA!T598</f>
        <v>44777</v>
      </c>
      <c r="T600" s="1156" t="str">
        <f>OBRA!W598</f>
        <v>NO APLICA</v>
      </c>
      <c r="U600" s="2207">
        <f>OBRA!U598</f>
        <v>44781</v>
      </c>
      <c r="V600" s="2208">
        <f>OBRA!V598</f>
        <v>44799</v>
      </c>
      <c r="W600" s="2209">
        <v>0</v>
      </c>
      <c r="X600" s="2210">
        <f>OBRA!AT598+OBRA!AU598</f>
        <v>85112.38</v>
      </c>
      <c r="Y600" s="2218" t="s">
        <v>5011</v>
      </c>
      <c r="Z600" s="2212" t="str">
        <f>OBRA!X598</f>
        <v>N/A</v>
      </c>
      <c r="AA600" s="2212" t="s">
        <v>67</v>
      </c>
      <c r="AB600" s="2213" t="str">
        <f t="shared" si="41"/>
        <v>N/A</v>
      </c>
      <c r="AC600" s="2212" t="s">
        <v>1176</v>
      </c>
      <c r="AD600" s="2213" t="s">
        <v>1176</v>
      </c>
      <c r="AE600" s="2214" t="str">
        <f>OBRA!Y598</f>
        <v>ING. LUIS RIGOBERTO OLMEDO NAVARRO</v>
      </c>
      <c r="AF600" s="2215">
        <v>67</v>
      </c>
      <c r="AG600" s="2192" t="s">
        <v>1548</v>
      </c>
      <c r="AH600" s="2216">
        <f t="shared" si="42"/>
        <v>1270.3340298507464</v>
      </c>
      <c r="AI600" s="2192">
        <v>100</v>
      </c>
      <c r="AJ600" s="2219">
        <v>600</v>
      </c>
      <c r="AK600" s="1755">
        <v>1</v>
      </c>
      <c r="AL600" s="2220">
        <v>20.291401</v>
      </c>
      <c r="AM600" s="2221">
        <v>103.34714700000001</v>
      </c>
      <c r="AN600" s="563" t="s">
        <v>5010</v>
      </c>
      <c r="AO600" s="563" t="s">
        <v>5010</v>
      </c>
      <c r="AP600" s="563" t="s">
        <v>5010</v>
      </c>
      <c r="AQ600" s="502" t="s">
        <v>5010</v>
      </c>
      <c r="AR600" s="502"/>
      <c r="AS600" s="697" t="s">
        <v>5010</v>
      </c>
      <c r="AT600" s="1852"/>
      <c r="AU600" s="1852"/>
      <c r="AV600" s="1852"/>
      <c r="AW600" s="1852"/>
      <c r="AX600" s="1852"/>
      <c r="AY600" s="1852"/>
      <c r="AZ600" s="1852"/>
      <c r="BA600" s="1852"/>
      <c r="BB600" s="507"/>
      <c r="BC600" s="507"/>
      <c r="BD600" s="507"/>
      <c r="BE600" s="507"/>
      <c r="BF600" s="507"/>
      <c r="BG600" s="507"/>
      <c r="BH600" s="507"/>
      <c r="BI600" s="33" t="s">
        <v>550</v>
      </c>
      <c r="BJ600" s="12"/>
    </row>
    <row r="601" spans="1:62" ht="84.75" customHeight="1">
      <c r="A601" s="2190">
        <f>OBRA!K599</f>
        <v>2022</v>
      </c>
      <c r="B601" s="2191" t="s">
        <v>3947</v>
      </c>
      <c r="C601" s="781">
        <f>OBRA!L599</f>
        <v>221004</v>
      </c>
      <c r="D601" s="781" t="s">
        <v>550</v>
      </c>
      <c r="E601" s="2192" t="str">
        <f>OBRA!N599</f>
        <v>CUENTA CORRIENTE</v>
      </c>
      <c r="F601" s="662" t="s">
        <v>1427</v>
      </c>
      <c r="G601" s="2193" t="s">
        <v>2209</v>
      </c>
      <c r="H601" s="2194" t="str">
        <f>OBRA!O599</f>
        <v>DOP/AD/001-A/2022</v>
      </c>
      <c r="I601" s="2192" t="str">
        <f>OBRA!P599</f>
        <v>ADMINISTRACIÓN DIRECTA</v>
      </c>
      <c r="J601" s="2195" t="str">
        <f>OBRA!Q599</f>
        <v>"REHABILITACIÓN DE EXTENSIÓN DE RED DE AGUA POTABLE DE 4" EN CALLE PROL. MORELOS ENTRE CALLE RIBERA DEL LAGO Y CALLE CHUECA" EN LA LOCALIDAD DE NEXTIPAC, DEL MUNICIPIO DE JOCOTEPEC, JALISCO.</v>
      </c>
      <c r="K601" s="2196" t="s">
        <v>5891</v>
      </c>
      <c r="L601" s="1348" t="s">
        <v>4748</v>
      </c>
      <c r="M601" s="2195" t="s">
        <v>6272</v>
      </c>
      <c r="N601" s="2195" t="str">
        <f>OBRA!R599</f>
        <v>NEXTIPAC</v>
      </c>
      <c r="O601" s="505" t="s">
        <v>5012</v>
      </c>
      <c r="P601" s="79">
        <f>OBRA!S599</f>
        <v>330190.86</v>
      </c>
      <c r="Q601" s="1045">
        <f t="shared" si="40"/>
        <v>284647.29310344829</v>
      </c>
      <c r="R601" s="1762"/>
      <c r="S601" s="67">
        <f>OBRA!T599</f>
        <v>44595</v>
      </c>
      <c r="T601" s="1156" t="str">
        <f>OBRA!W599</f>
        <v>NO APLICA</v>
      </c>
      <c r="U601" s="2207">
        <f>OBRA!U599</f>
        <v>44599</v>
      </c>
      <c r="V601" s="2208">
        <f>OBRA!V599</f>
        <v>44617</v>
      </c>
      <c r="W601" s="2209">
        <v>0</v>
      </c>
      <c r="X601" s="2210">
        <f>OBRA!AT599+OBRA!AU599</f>
        <v>330191.75</v>
      </c>
      <c r="Y601" s="2218" t="s">
        <v>5013</v>
      </c>
      <c r="Z601" s="2212" t="str">
        <f>OBRA!X599</f>
        <v>N/A</v>
      </c>
      <c r="AA601" s="2212" t="s">
        <v>67</v>
      </c>
      <c r="AB601" s="2213" t="str">
        <f t="shared" si="41"/>
        <v>N/A</v>
      </c>
      <c r="AC601" s="2212" t="s">
        <v>1176</v>
      </c>
      <c r="AD601" s="2213" t="s">
        <v>1176</v>
      </c>
      <c r="AE601" s="2214" t="str">
        <f>OBRA!Y599</f>
        <v>C. DANIEL RODRIGUEZ VALENZUELA</v>
      </c>
      <c r="AF601" s="2215">
        <v>666</v>
      </c>
      <c r="AG601" s="2192" t="s">
        <v>1450</v>
      </c>
      <c r="AH601" s="2216">
        <f t="shared" si="42"/>
        <v>495.78340840840843</v>
      </c>
      <c r="AI601" s="2192">
        <v>150</v>
      </c>
      <c r="AJ601" s="2219">
        <v>150</v>
      </c>
      <c r="AK601" s="1755">
        <v>1</v>
      </c>
      <c r="AL601" s="2220">
        <v>20.289477999999999</v>
      </c>
      <c r="AM601" s="2221">
        <v>103.41207900000001</v>
      </c>
      <c r="AN601" s="563" t="s">
        <v>5012</v>
      </c>
      <c r="AO601" s="563" t="s">
        <v>5012</v>
      </c>
      <c r="AP601" s="563" t="s">
        <v>5012</v>
      </c>
      <c r="AQ601" s="2219"/>
      <c r="AR601" s="2219"/>
      <c r="AS601" s="697" t="s">
        <v>5012</v>
      </c>
      <c r="AT601" s="1852"/>
      <c r="AU601" s="1852"/>
      <c r="AV601" s="1852"/>
      <c r="AW601" s="1852"/>
      <c r="AX601" s="1852"/>
      <c r="AY601" s="1852"/>
      <c r="AZ601" s="1852"/>
      <c r="BA601" s="1852"/>
      <c r="BB601" s="507"/>
      <c r="BC601" s="507"/>
      <c r="BD601" s="507"/>
      <c r="BE601" s="507"/>
      <c r="BF601" s="507"/>
      <c r="BG601" s="507"/>
      <c r="BH601" s="507"/>
      <c r="BI601" s="33"/>
      <c r="BJ601" s="12"/>
    </row>
    <row r="602" spans="1:62" ht="68.25" customHeight="1">
      <c r="A602" s="2190">
        <f>OBRA!K600</f>
        <v>2022</v>
      </c>
      <c r="B602" s="2191" t="s">
        <v>3947</v>
      </c>
      <c r="C602" s="781">
        <f>OBRA!L600</f>
        <v>221005</v>
      </c>
      <c r="D602" s="781" t="s">
        <v>550</v>
      </c>
      <c r="E602" s="2192" t="str">
        <f>OBRA!N600</f>
        <v>CUENTA CORRIENTE</v>
      </c>
      <c r="F602" s="662" t="s">
        <v>1427</v>
      </c>
      <c r="G602" s="2193" t="s">
        <v>2209</v>
      </c>
      <c r="H602" s="2194" t="str">
        <f>OBRA!O600</f>
        <v>DOP/AD/005/2022</v>
      </c>
      <c r="I602" s="2192" t="str">
        <f>OBRA!P600</f>
        <v>ADMINISTRACIÓN DIRECTA</v>
      </c>
      <c r="J602" s="2195" t="str">
        <f>OBRA!Q600</f>
        <v>"CONSTRUCCIÓN DE SUPERFICIE DE RODAMIENTO EN CALLE 12 DE OCTUBRE", EN LA LOCALIDAD DE SAN PEDRO TESISTÁN, DEL MUNICIPIO DE JOCOTEPEC, JALISCO</v>
      </c>
      <c r="K602" s="2196" t="s">
        <v>5892</v>
      </c>
      <c r="L602" s="1348" t="s">
        <v>4755</v>
      </c>
      <c r="M602" s="2195" t="s">
        <v>4601</v>
      </c>
      <c r="N602" s="2195" t="str">
        <f>OBRA!R600</f>
        <v>SAN PEDRO TESISTÁN</v>
      </c>
      <c r="O602" s="505" t="s">
        <v>5014</v>
      </c>
      <c r="P602" s="79">
        <f>OBRA!S600</f>
        <v>86073.66</v>
      </c>
      <c r="Q602" s="1045">
        <f t="shared" ref="Q602:Q659" si="43">P602/1.16</f>
        <v>74201.431034482768</v>
      </c>
      <c r="R602" s="1762"/>
      <c r="S602" s="67">
        <f>OBRA!T600</f>
        <v>44875</v>
      </c>
      <c r="T602" s="1156" t="str">
        <f>OBRA!W600</f>
        <v>NO APLICA</v>
      </c>
      <c r="U602" s="2207">
        <f>OBRA!U600</f>
        <v>44886</v>
      </c>
      <c r="V602" s="2208">
        <f>OBRA!V600</f>
        <v>44893</v>
      </c>
      <c r="W602" s="2209">
        <v>0</v>
      </c>
      <c r="X602" s="2210">
        <f>OBRA!AT600+OBRA!AU600</f>
        <v>35139.68</v>
      </c>
      <c r="Y602" s="2218" t="s">
        <v>4165</v>
      </c>
      <c r="Z602" s="2212" t="str">
        <f>OBRA!X600</f>
        <v>N/A</v>
      </c>
      <c r="AA602" s="2212" t="s">
        <v>67</v>
      </c>
      <c r="AB602" s="2213" t="str">
        <f t="shared" ref="AB602:AB658" si="44">Z602</f>
        <v>N/A</v>
      </c>
      <c r="AC602" s="2212" t="s">
        <v>1176</v>
      </c>
      <c r="AD602" s="2213" t="s">
        <v>1176</v>
      </c>
      <c r="AE602" s="2214" t="str">
        <f>OBRA!Y600</f>
        <v>C. DANIEL RODRIGUEZ VALENZUELA</v>
      </c>
      <c r="AF602" s="2215">
        <v>134</v>
      </c>
      <c r="AG602" s="2192" t="s">
        <v>1548</v>
      </c>
      <c r="AH602" s="2216">
        <f t="shared" si="42"/>
        <v>262.23641791044776</v>
      </c>
      <c r="AI602" s="2192">
        <v>100</v>
      </c>
      <c r="AJ602" s="2219">
        <v>300</v>
      </c>
      <c r="AK602" s="1755">
        <v>1</v>
      </c>
      <c r="AL602" s="2220">
        <v>20.228021999999999</v>
      </c>
      <c r="AM602" s="2221">
        <v>103.416735</v>
      </c>
      <c r="AN602" s="563" t="s">
        <v>5014</v>
      </c>
      <c r="AO602" s="563" t="s">
        <v>5014</v>
      </c>
      <c r="AP602" s="563" t="s">
        <v>5014</v>
      </c>
      <c r="AQ602" s="502" t="s">
        <v>5014</v>
      </c>
      <c r="AR602" s="502"/>
      <c r="AS602" s="697" t="s">
        <v>5014</v>
      </c>
      <c r="AT602" s="1852"/>
      <c r="AU602" s="1852"/>
      <c r="AV602" s="1852"/>
      <c r="AW602" s="1852"/>
      <c r="AX602" s="1852"/>
      <c r="AY602" s="1852"/>
      <c r="AZ602" s="1852"/>
      <c r="BA602" s="1852"/>
      <c r="BB602" s="507"/>
      <c r="BC602" s="507"/>
      <c r="BD602" s="507"/>
      <c r="BE602" s="507"/>
      <c r="BF602" s="507"/>
      <c r="BG602" s="507"/>
      <c r="BH602" s="507"/>
      <c r="BI602" s="33" t="s">
        <v>550</v>
      </c>
      <c r="BJ602" s="12"/>
    </row>
    <row r="603" spans="1:62" ht="68.25" customHeight="1">
      <c r="A603" s="2190">
        <f>OBRA!K601</f>
        <v>2022</v>
      </c>
      <c r="B603" s="2191" t="s">
        <v>3947</v>
      </c>
      <c r="C603" s="781">
        <f>OBRA!L601</f>
        <v>221006</v>
      </c>
      <c r="D603" s="781" t="s">
        <v>550</v>
      </c>
      <c r="E603" s="2192" t="str">
        <f>OBRA!N601</f>
        <v>CUENTA CORRIENTE</v>
      </c>
      <c r="F603" s="662" t="s">
        <v>1427</v>
      </c>
      <c r="G603" s="2193" t="s">
        <v>2209</v>
      </c>
      <c r="H603" s="2194" t="str">
        <f>OBRA!O601</f>
        <v>DOP/AD/006/2022</v>
      </c>
      <c r="I603" s="2192" t="str">
        <f>OBRA!P601</f>
        <v>ADMINISTRACIÓN DIRECTA</v>
      </c>
      <c r="J603" s="2195" t="str">
        <f>OBRA!Q601</f>
        <v>"CONSTRUCCIÓN DE SUPERFICIE DE RODAMIENTO EN CALLE LIBERTAD", EN LA LOCALIDAD DE SAN PEDRO TESISTÁN, DEL MUNICIPIO DE JOCOTEPEC, JALISCO</v>
      </c>
      <c r="K603" s="2196" t="s">
        <v>5892</v>
      </c>
      <c r="L603" s="1348" t="s">
        <v>4755</v>
      </c>
      <c r="M603" s="2195" t="s">
        <v>4602</v>
      </c>
      <c r="N603" s="2195" t="str">
        <f>OBRA!R601</f>
        <v>SAN PEDRO TESISTÁN</v>
      </c>
      <c r="O603" s="505" t="s">
        <v>5015</v>
      </c>
      <c r="P603" s="79">
        <f>OBRA!S601</f>
        <v>109829.72</v>
      </c>
      <c r="Q603" s="1045">
        <f t="shared" si="43"/>
        <v>94680.79310344829</v>
      </c>
      <c r="R603" s="1762"/>
      <c r="S603" s="67">
        <f>OBRA!T601</f>
        <v>44875</v>
      </c>
      <c r="T603" s="1156" t="str">
        <f>OBRA!W601</f>
        <v>NO APLICA</v>
      </c>
      <c r="U603" s="2207">
        <f>OBRA!U601</f>
        <v>44879</v>
      </c>
      <c r="V603" s="2208">
        <f>OBRA!V601</f>
        <v>44886</v>
      </c>
      <c r="W603" s="2209">
        <v>0</v>
      </c>
      <c r="X603" s="2210">
        <f>OBRA!AT601+OBRA!AU601</f>
        <v>71209.119999999995</v>
      </c>
      <c r="Y603" s="2218" t="s">
        <v>4165</v>
      </c>
      <c r="Z603" s="2212" t="str">
        <f>OBRA!X601</f>
        <v>N/A</v>
      </c>
      <c r="AA603" s="2212" t="s">
        <v>67</v>
      </c>
      <c r="AB603" s="2213" t="str">
        <f t="shared" si="44"/>
        <v>N/A</v>
      </c>
      <c r="AC603" s="2212" t="s">
        <v>1176</v>
      </c>
      <c r="AD603" s="2213" t="s">
        <v>1176</v>
      </c>
      <c r="AE603" s="2214" t="str">
        <f>OBRA!Y601</f>
        <v>C. DANIEL RODRIGUEZ VALENZUELA</v>
      </c>
      <c r="AF603" s="2215">
        <v>210.5</v>
      </c>
      <c r="AG603" s="2192" t="s">
        <v>1548</v>
      </c>
      <c r="AH603" s="2216">
        <f t="shared" si="42"/>
        <v>338.28560570071255</v>
      </c>
      <c r="AI603" s="2192">
        <v>100</v>
      </c>
      <c r="AJ603" s="2219">
        <v>350</v>
      </c>
      <c r="AK603" s="1755">
        <v>1</v>
      </c>
      <c r="AL603" s="2220">
        <v>20.224917999999999</v>
      </c>
      <c r="AM603" s="2221">
        <v>103.41208399999999</v>
      </c>
      <c r="AN603" s="563" t="s">
        <v>5015</v>
      </c>
      <c r="AO603" s="563" t="s">
        <v>5015</v>
      </c>
      <c r="AP603" s="563" t="s">
        <v>5015</v>
      </c>
      <c r="AQ603" s="502" t="s">
        <v>5015</v>
      </c>
      <c r="AR603" s="502"/>
      <c r="AS603" s="697" t="s">
        <v>5015</v>
      </c>
      <c r="AT603" s="1852"/>
      <c r="AU603" s="1852"/>
      <c r="AV603" s="1852"/>
      <c r="AW603" s="1852"/>
      <c r="AX603" s="1852"/>
      <c r="AY603" s="1852"/>
      <c r="AZ603" s="1852"/>
      <c r="BA603" s="1852"/>
      <c r="BB603" s="507"/>
      <c r="BC603" s="507"/>
      <c r="BD603" s="507"/>
      <c r="BE603" s="507"/>
      <c r="BF603" s="507"/>
      <c r="BG603" s="507"/>
      <c r="BH603" s="507"/>
      <c r="BI603" s="33" t="s">
        <v>550</v>
      </c>
      <c r="BJ603" s="12"/>
    </row>
    <row r="604" spans="1:62" ht="15" hidden="1" customHeight="1">
      <c r="A604" s="16">
        <f>OBRA!K602</f>
        <v>2022</v>
      </c>
      <c r="B604" s="781" t="s">
        <v>3947</v>
      </c>
      <c r="C604" s="781">
        <f>OBRA!L602</f>
        <v>221006.1</v>
      </c>
      <c r="D604" s="781" t="s">
        <v>550</v>
      </c>
      <c r="E604" s="2" t="str">
        <f>OBRA!N602</f>
        <v>CUENTA CORRIENTE</v>
      </c>
      <c r="F604" s="512"/>
      <c r="G604" s="566"/>
      <c r="H604" s="12" t="str">
        <f>OBRA!O602</f>
        <v>MANTENIMIENTOS</v>
      </c>
      <c r="I604" s="2" t="str">
        <f>OBRA!P602</f>
        <v>MANTENIMIENTOS</v>
      </c>
      <c r="J604" s="3" t="str">
        <f>OBRA!Q602</f>
        <v>REMODELACIÓN DE PRESIDENCIA</v>
      </c>
      <c r="K604" s="1623"/>
      <c r="L604" s="1623" t="s">
        <v>6242</v>
      </c>
      <c r="M604" s="544" t="s">
        <v>5895</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2">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1553"/>
      <c r="AM604" s="1554"/>
      <c r="AN604" s="565"/>
      <c r="AO604" s="565"/>
      <c r="AP604" s="565"/>
      <c r="AQ604" s="507"/>
      <c r="AR604" s="507"/>
      <c r="AS604" s="512"/>
      <c r="AT604" s="1852"/>
      <c r="AU604" s="1852"/>
      <c r="AV604" s="1852"/>
      <c r="AW604" s="1852"/>
      <c r="AX604" s="1852"/>
      <c r="AY604" s="1852"/>
      <c r="AZ604" s="1852"/>
      <c r="BA604" s="1852"/>
      <c r="BB604" s="507"/>
      <c r="BC604" s="507"/>
      <c r="BD604" s="507"/>
      <c r="BE604" s="507"/>
      <c r="BF604" s="507"/>
      <c r="BG604" s="507"/>
      <c r="BH604" s="507"/>
      <c r="BI604" s="33"/>
      <c r="BJ604" s="12"/>
    </row>
    <row r="605" spans="1:62" ht="51" customHeight="1">
      <c r="A605" s="2190">
        <f>OBRA!K603</f>
        <v>2022</v>
      </c>
      <c r="B605" s="2191" t="s">
        <v>3947</v>
      </c>
      <c r="C605" s="781">
        <f>OBRA!L603</f>
        <v>221007</v>
      </c>
      <c r="D605" s="781" t="s">
        <v>550</v>
      </c>
      <c r="E605" s="2192" t="str">
        <f>OBRA!N603</f>
        <v>CUENTA CORRIENTE</v>
      </c>
      <c r="F605" s="662" t="s">
        <v>1427</v>
      </c>
      <c r="G605" s="2193" t="s">
        <v>2209</v>
      </c>
      <c r="H605" s="2194" t="str">
        <f>OBRA!O603</f>
        <v>DOP/AD/007/2022</v>
      </c>
      <c r="I605" s="2192" t="str">
        <f>OBRA!P603</f>
        <v>ADMINISTRACIÓN DIRECTA</v>
      </c>
      <c r="J605" s="2195" t="str">
        <f>OBRA!Q603</f>
        <v>“CONSTRUCCIÓN DE BAÑOS PÚBLICOS”, EN LA LOCALIDAD DE EL MOLINO, DEL MUNICIPIO DE JOCOTEPEC, JALISCO</v>
      </c>
      <c r="K605" s="2196" t="s">
        <v>5893</v>
      </c>
      <c r="L605" s="1348" t="s">
        <v>6242</v>
      </c>
      <c r="M605" s="2195" t="s">
        <v>5016</v>
      </c>
      <c r="N605" s="2195" t="str">
        <f>OBRA!R603</f>
        <v>EL MOLINO</v>
      </c>
      <c r="O605" s="505" t="s">
        <v>5018</v>
      </c>
      <c r="P605" s="79">
        <f>OBRA!S603</f>
        <v>297707.86</v>
      </c>
      <c r="Q605" s="1045">
        <f t="shared" si="43"/>
        <v>256644.70689655174</v>
      </c>
      <c r="R605" s="1762"/>
      <c r="S605" s="67">
        <f>OBRA!T603</f>
        <v>44875</v>
      </c>
      <c r="T605" s="1156" t="str">
        <f>OBRA!W603</f>
        <v>NO APLICA</v>
      </c>
      <c r="U605" s="2207">
        <f>OBRA!U603</f>
        <v>44880</v>
      </c>
      <c r="V605" s="2208">
        <f>OBRA!V603</f>
        <v>44926</v>
      </c>
      <c r="W605" s="2209">
        <v>0</v>
      </c>
      <c r="X605" s="2210">
        <f>OBRA!AT603+OBRA!AU603</f>
        <v>55290.869999999995</v>
      </c>
      <c r="Y605" s="2218" t="s">
        <v>5017</v>
      </c>
      <c r="Z605" s="2212" t="str">
        <f>OBRA!X603</f>
        <v>N/A</v>
      </c>
      <c r="AA605" s="2212" t="s">
        <v>67</v>
      </c>
      <c r="AB605" s="2213" t="str">
        <f t="shared" si="44"/>
        <v>N/A</v>
      </c>
      <c r="AC605" s="2212" t="s">
        <v>1176</v>
      </c>
      <c r="AD605" s="2213" t="s">
        <v>1176</v>
      </c>
      <c r="AE605" s="2214" t="str">
        <f>OBRA!Y603</f>
        <v>ARQ. JAIME CONDE GOMEZ</v>
      </c>
      <c r="AF605" s="2215">
        <v>20.82</v>
      </c>
      <c r="AG605" s="2192" t="s">
        <v>1548</v>
      </c>
      <c r="AH605" s="2216">
        <f t="shared" si="42"/>
        <v>2655.6613832853022</v>
      </c>
      <c r="AI605" s="2192">
        <v>300</v>
      </c>
      <c r="AJ605" s="2219">
        <v>2000</v>
      </c>
      <c r="AK605" s="1755">
        <v>1</v>
      </c>
      <c r="AL605" s="2220">
        <v>20.388190000000002</v>
      </c>
      <c r="AM605" s="2221">
        <v>103.53391999999999</v>
      </c>
      <c r="AN605" s="563" t="s">
        <v>5018</v>
      </c>
      <c r="AO605" s="563" t="s">
        <v>5018</v>
      </c>
      <c r="AP605" s="563" t="s">
        <v>5018</v>
      </c>
      <c r="AQ605" s="502" t="s">
        <v>5018</v>
      </c>
      <c r="AR605" s="502"/>
      <c r="AS605" s="697" t="s">
        <v>5018</v>
      </c>
      <c r="AT605" s="1852"/>
      <c r="AU605" s="1852"/>
      <c r="AV605" s="1852"/>
      <c r="AW605" s="1852"/>
      <c r="AX605" s="1852"/>
      <c r="AY605" s="1852"/>
      <c r="AZ605" s="1852"/>
      <c r="BA605" s="1852"/>
      <c r="BB605" s="507"/>
      <c r="BC605" s="507"/>
      <c r="BD605" s="507"/>
      <c r="BE605" s="507"/>
      <c r="BF605" s="507"/>
      <c r="BG605" s="507"/>
      <c r="BH605" s="507"/>
      <c r="BI605" s="33" t="s">
        <v>550</v>
      </c>
      <c r="BJ605" s="12"/>
    </row>
    <row r="606" spans="1:62" ht="58.5" customHeight="1">
      <c r="A606" s="2190">
        <f>OBRA!K604</f>
        <v>2022</v>
      </c>
      <c r="B606" s="2191" t="s">
        <v>3947</v>
      </c>
      <c r="C606" s="781">
        <f>OBRA!L604</f>
        <v>221008</v>
      </c>
      <c r="D606" s="781" t="s">
        <v>550</v>
      </c>
      <c r="E606" s="2192" t="str">
        <f>OBRA!N604</f>
        <v>CUENTA CORRIENTE</v>
      </c>
      <c r="F606" s="662" t="s">
        <v>1427</v>
      </c>
      <c r="G606" s="2193" t="s">
        <v>2209</v>
      </c>
      <c r="H606" s="2194" t="str">
        <f>OBRA!O604</f>
        <v>DOP/AD/001-B/2022</v>
      </c>
      <c r="I606" s="2192" t="str">
        <f>OBRA!P604</f>
        <v>ADMINISTRACIÓN DIRECTA</v>
      </c>
      <c r="J606" s="2195" t="str">
        <f>OBRA!Q604</f>
        <v>"REMODELACIÓN DE PRESIDENCIA (2DA ETAPA)", EN LA CABECERA MUNICIPAL DE JOCOTEPEC.</v>
      </c>
      <c r="K606" s="2196"/>
      <c r="L606" s="1348" t="s">
        <v>6242</v>
      </c>
      <c r="M606" s="2195" t="s">
        <v>5895</v>
      </c>
      <c r="N606" s="2195" t="str">
        <f>OBRA!R604</f>
        <v>CABECERA MUNICIPAL</v>
      </c>
      <c r="O606" s="2195"/>
      <c r="P606" s="79">
        <f>OBRA!S604</f>
        <v>800000</v>
      </c>
      <c r="Q606" s="1045">
        <f t="shared" si="43"/>
        <v>689655.17241379316</v>
      </c>
      <c r="R606" s="1762"/>
      <c r="S606" s="67">
        <f>OBRA!T604</f>
        <v>44620</v>
      </c>
      <c r="T606" s="1156" t="str">
        <f>OBRA!W604</f>
        <v>NO APLICA</v>
      </c>
      <c r="U606" s="2207">
        <f>OBRA!U604</f>
        <v>44624</v>
      </c>
      <c r="V606" s="2208">
        <f>OBRA!V604</f>
        <v>44773</v>
      </c>
      <c r="W606" s="2209">
        <v>0</v>
      </c>
      <c r="X606" s="2210">
        <f>OBRA!AT604+OBRA!AU604</f>
        <v>619734.58000000007</v>
      </c>
      <c r="Y606" s="2218"/>
      <c r="Z606" s="2212" t="str">
        <f>OBRA!X604</f>
        <v>N/A</v>
      </c>
      <c r="AA606" s="2212" t="s">
        <v>67</v>
      </c>
      <c r="AB606" s="2213" t="str">
        <f t="shared" si="44"/>
        <v>N/A</v>
      </c>
      <c r="AC606" s="2212" t="s">
        <v>1176</v>
      </c>
      <c r="AD606" s="2213" t="s">
        <v>1176</v>
      </c>
      <c r="AE606" s="2214" t="str">
        <f>OBRA!Y604</f>
        <v>ING. J. GUADALUPE IBARRA RAMIREZ</v>
      </c>
      <c r="AF606" s="2215"/>
      <c r="AG606" s="2192"/>
      <c r="AH606" s="2216" t="e">
        <f t="shared" si="42"/>
        <v>#DIV/0!</v>
      </c>
      <c r="AI606" s="2192"/>
      <c r="AJ606" s="2219"/>
      <c r="AK606" s="1755">
        <v>1</v>
      </c>
      <c r="AL606" s="2220"/>
      <c r="AM606" s="2221"/>
      <c r="AN606" s="563"/>
      <c r="AO606" s="563"/>
      <c r="AP606" s="563"/>
      <c r="AQ606" s="2219"/>
      <c r="AR606" s="2219"/>
      <c r="AS606" s="2217"/>
      <c r="AT606" s="1852"/>
      <c r="AU606" s="1852"/>
      <c r="AV606" s="1852"/>
      <c r="AW606" s="1852"/>
      <c r="AX606" s="1852"/>
      <c r="AY606" s="1852"/>
      <c r="AZ606" s="1852"/>
      <c r="BA606" s="1852"/>
      <c r="BB606" s="507"/>
      <c r="BC606" s="507"/>
      <c r="BD606" s="507"/>
      <c r="BE606" s="507"/>
      <c r="BF606" s="507"/>
      <c r="BG606" s="507"/>
      <c r="BH606" s="507"/>
      <c r="BI606" s="33"/>
      <c r="BJ606" s="12"/>
    </row>
    <row r="607" spans="1:62" ht="15" hidden="1" customHeight="1">
      <c r="A607" s="16">
        <f>OBRA!K605</f>
        <v>2022</v>
      </c>
      <c r="B607" s="781" t="s">
        <v>3947</v>
      </c>
      <c r="C607" s="781">
        <f>OBRA!L605</f>
        <v>221010</v>
      </c>
      <c r="D607" s="781" t="s">
        <v>550</v>
      </c>
      <c r="E607" s="2">
        <f>OBRA!N605</f>
        <v>0</v>
      </c>
      <c r="F607" s="512"/>
      <c r="G607" s="566"/>
      <c r="H607" s="12" t="str">
        <f>OBRA!O605</f>
        <v>DOP/AD/010/2022</v>
      </c>
      <c r="I607" s="2" t="str">
        <f>OBRA!P605</f>
        <v>CANCELADA</v>
      </c>
      <c r="J607" s="3" t="str">
        <f>OBRA!Q605</f>
        <v>-</v>
      </c>
      <c r="K607" s="1623"/>
      <c r="L607" s="1623"/>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2">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1553"/>
      <c r="AM607" s="1554"/>
      <c r="AN607" s="565"/>
      <c r="AO607" s="565"/>
      <c r="AP607" s="565"/>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hidden="1" customHeight="1">
      <c r="A608" s="16">
        <f>OBRA!K606</f>
        <v>2022</v>
      </c>
      <c r="B608" s="781" t="s">
        <v>3947</v>
      </c>
      <c r="C608" s="781">
        <f>OBRA!L606</f>
        <v>222001</v>
      </c>
      <c r="D608" s="781" t="s">
        <v>550</v>
      </c>
      <c r="E608" s="2" t="str">
        <f>OBRA!N606</f>
        <v>CUENTA CORRIENTE</v>
      </c>
      <c r="F608" s="662" t="s">
        <v>1427</v>
      </c>
      <c r="G608" s="880" t="s">
        <v>2864</v>
      </c>
      <c r="H608" s="1610"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4415</v>
      </c>
      <c r="L608" s="674"/>
      <c r="M608" s="674" t="s">
        <v>4416</v>
      </c>
      <c r="N608" s="3" t="str">
        <f>OBRA!R606</f>
        <v>MPIO: SAN JUAN COSALA, SAN PEDRO TESISTÁN, POTRERILLOS Y SAN LUCIANO</v>
      </c>
      <c r="O608" s="1611" t="s">
        <v>4510</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5668</v>
      </c>
      <c r="AB608" s="2" t="s">
        <v>3759</v>
      </c>
      <c r="AC608" s="1817" t="s">
        <v>4429</v>
      </c>
      <c r="AD608" s="1816" t="s">
        <v>5636</v>
      </c>
      <c r="AE608" s="184" t="str">
        <f>OBRA!Y606</f>
        <v>LIC. SALVADOR CONTRERAS OLGUÍN</v>
      </c>
      <c r="AF608" s="19">
        <v>4</v>
      </c>
      <c r="AG608" s="2" t="s">
        <v>6780</v>
      </c>
      <c r="AH608" s="184">
        <f>P608/AF608</f>
        <v>17400</v>
      </c>
      <c r="AI608" s="511"/>
      <c r="AJ608" s="507"/>
      <c r="AK608" s="1991">
        <v>1</v>
      </c>
      <c r="AL608" s="626"/>
      <c r="AM608" s="1546"/>
      <c r="AN608" s="565"/>
      <c r="AO608" s="565"/>
      <c r="AP608" s="565"/>
      <c r="AQ608" s="507"/>
      <c r="AR608" s="507"/>
      <c r="AS608" s="512"/>
      <c r="AT608" s="507"/>
      <c r="AU608" s="507"/>
      <c r="AV608" s="507"/>
      <c r="AW608" s="507"/>
      <c r="AX608" s="507"/>
      <c r="AY608" s="507"/>
      <c r="AZ608" s="507"/>
      <c r="BA608" s="507"/>
      <c r="BB608" s="507"/>
      <c r="BC608" s="507"/>
      <c r="BD608" s="507"/>
      <c r="BE608" s="507"/>
      <c r="BF608" s="507"/>
      <c r="BG608" s="507"/>
      <c r="BH608" s="507"/>
      <c r="BI608" s="33"/>
      <c r="BJ608" s="12"/>
    </row>
    <row r="609" spans="1:62" s="1072" customFormat="1" ht="105" hidden="1" customHeight="1">
      <c r="A609" s="535">
        <f>OBRA!K607</f>
        <v>2022</v>
      </c>
      <c r="B609" s="781" t="s">
        <v>3947</v>
      </c>
      <c r="C609" s="781">
        <f>OBRA!L607</f>
        <v>222002</v>
      </c>
      <c r="D609" s="1520" t="s">
        <v>550</v>
      </c>
      <c r="E609" s="187" t="str">
        <f>OBRA!N607</f>
        <v>CUENTA CORRIENTE</v>
      </c>
      <c r="F609" s="1494" t="s">
        <v>1427</v>
      </c>
      <c r="G609" s="569" t="s">
        <v>2864</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4417</v>
      </c>
      <c r="L609" s="106"/>
      <c r="M609" s="106" t="s">
        <v>4416</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5668</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1549"/>
      <c r="AM609" s="1550"/>
      <c r="AN609" s="1533"/>
      <c r="AO609" s="1533"/>
      <c r="AP609" s="1533"/>
      <c r="AQ609" s="517"/>
      <c r="AR609" s="517"/>
      <c r="AS609" s="1494"/>
      <c r="AT609" s="517"/>
      <c r="AU609" s="517"/>
      <c r="AV609" s="517"/>
      <c r="AW609" s="517"/>
      <c r="AX609" s="517"/>
      <c r="AY609" s="517"/>
      <c r="AZ609" s="517"/>
      <c r="BA609" s="517"/>
      <c r="BB609" s="517"/>
      <c r="BC609" s="517"/>
      <c r="BD609" s="517"/>
      <c r="BE609" s="517"/>
      <c r="BF609" s="517"/>
      <c r="BG609" s="517"/>
      <c r="BH609" s="517"/>
      <c r="BI609" s="309"/>
      <c r="BJ609" s="1503"/>
    </row>
    <row r="610" spans="1:62" ht="182.25" hidden="1" customHeight="1">
      <c r="A610" s="16">
        <f>OBRA!K608</f>
        <v>2022</v>
      </c>
      <c r="B610" s="781" t="s">
        <v>3947</v>
      </c>
      <c r="C610" s="781">
        <f>OBRA!L608</f>
        <v>222003</v>
      </c>
      <c r="D610" s="781" t="s">
        <v>550</v>
      </c>
      <c r="E610" s="2" t="str">
        <f>OBRA!N608</f>
        <v>CUENTA CORRIENTE</v>
      </c>
      <c r="F610" s="662" t="s">
        <v>1427</v>
      </c>
      <c r="G610" s="880" t="s">
        <v>2864</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4418</v>
      </c>
      <c r="L610" s="674"/>
      <c r="M610" s="674" t="s">
        <v>5925</v>
      </c>
      <c r="N610" s="674" t="str">
        <f>OBRA!R608</f>
        <v>CABECERA MUNICIPAL</v>
      </c>
      <c r="O610" s="1611" t="s">
        <v>4510</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5668</v>
      </c>
      <c r="AB610" s="148" t="str">
        <f t="shared" si="44"/>
        <v>OSCAR CASTILLO LEDEZMA</v>
      </c>
      <c r="AC610" s="146" t="s">
        <v>4430</v>
      </c>
      <c r="AD610" s="148" t="s">
        <v>4431</v>
      </c>
      <c r="AE610" s="554">
        <f>OBRA!Y608</f>
        <v>0</v>
      </c>
      <c r="AF610" s="19">
        <v>9</v>
      </c>
      <c r="AG610" s="2" t="s">
        <v>1841</v>
      </c>
      <c r="AH610" s="184">
        <f>P610/AF610</f>
        <v>1333.3333333333333</v>
      </c>
      <c r="AI610" s="511"/>
      <c r="AJ610" s="507"/>
      <c r="AK610" s="1991">
        <v>1</v>
      </c>
      <c r="AL610" s="626"/>
      <c r="AM610" s="1546"/>
      <c r="AN610" s="565"/>
      <c r="AO610" s="565"/>
      <c r="AP610" s="565"/>
      <c r="AQ610" s="507"/>
      <c r="AR610" s="507"/>
      <c r="AS610" s="512"/>
      <c r="AT610" s="507"/>
      <c r="AU610" s="507"/>
      <c r="AV610" s="507"/>
      <c r="AW610" s="507"/>
      <c r="AX610" s="507"/>
      <c r="AY610" s="507"/>
      <c r="AZ610" s="507"/>
      <c r="BA610" s="507"/>
      <c r="BB610" s="507"/>
      <c r="BC610" s="507"/>
      <c r="BD610" s="507"/>
      <c r="BE610" s="507"/>
      <c r="BF610" s="507"/>
      <c r="BG610" s="507"/>
      <c r="BH610" s="507"/>
      <c r="BI610" s="33"/>
      <c r="BJ610" s="12"/>
    </row>
    <row r="611" spans="1:62" ht="96.75" hidden="1" customHeight="1">
      <c r="A611" s="16">
        <f>OBRA!K609</f>
        <v>2022</v>
      </c>
      <c r="B611" s="781" t="s">
        <v>3947</v>
      </c>
      <c r="C611" s="781">
        <f>OBRA!L609</f>
        <v>222004</v>
      </c>
      <c r="D611" s="781" t="s">
        <v>550</v>
      </c>
      <c r="E611" s="2" t="str">
        <f>OBRA!N609</f>
        <v>CUENTA CORRIENTE</v>
      </c>
      <c r="F611" s="662" t="s">
        <v>1427</v>
      </c>
      <c r="G611" s="880" t="s">
        <v>2864</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4421</v>
      </c>
      <c r="L611" s="674"/>
      <c r="M611" s="674" t="s">
        <v>5926</v>
      </c>
      <c r="N611" s="674" t="str">
        <f>OBRA!R609</f>
        <v>CABECERA MUNICIPAL</v>
      </c>
      <c r="O611" s="1611" t="s">
        <v>4510</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5668</v>
      </c>
      <c r="AB611" s="148" t="str">
        <f t="shared" si="44"/>
        <v>ING. SERGIO CABRERA</v>
      </c>
      <c r="AC611" s="146" t="s">
        <v>1922</v>
      </c>
      <c r="AD611" s="148" t="s">
        <v>4432</v>
      </c>
      <c r="AE611" s="184" t="str">
        <f>OBRA!Y609</f>
        <v>ARQ. FRANCISCO SALAZAR</v>
      </c>
      <c r="AF611" s="19">
        <v>1</v>
      </c>
      <c r="AG611" s="2" t="s">
        <v>6433</v>
      </c>
      <c r="AH611" s="184">
        <f>P611/AF611</f>
        <v>10000.000400000001</v>
      </c>
      <c r="AI611" s="511"/>
      <c r="AJ611" s="507"/>
      <c r="AK611" s="1991">
        <v>1</v>
      </c>
      <c r="AL611" s="626"/>
      <c r="AM611" s="1546"/>
      <c r="AN611" s="565"/>
      <c r="AO611" s="565"/>
      <c r="AP611" s="565"/>
      <c r="AQ611" s="507"/>
      <c r="AR611" s="507"/>
      <c r="AS611" s="512"/>
      <c r="AT611" s="507"/>
      <c r="AU611" s="507"/>
      <c r="AV611" s="507"/>
      <c r="AW611" s="507"/>
      <c r="AX611" s="507"/>
      <c r="AY611" s="507"/>
      <c r="AZ611" s="507"/>
      <c r="BA611" s="507"/>
      <c r="BB611" s="507"/>
      <c r="BC611" s="507"/>
      <c r="BD611" s="507"/>
      <c r="BE611" s="507"/>
      <c r="BF611" s="507"/>
      <c r="BG611" s="507"/>
      <c r="BH611" s="507"/>
      <c r="BI611" s="33"/>
      <c r="BJ611" s="12"/>
    </row>
    <row r="612" spans="1:62" ht="15" hidden="1" customHeight="1">
      <c r="A612" s="16">
        <f>OBRA!K610</f>
        <v>2022</v>
      </c>
      <c r="B612" s="781" t="s">
        <v>3947</v>
      </c>
      <c r="C612" s="781">
        <f>OBRA!L610</f>
        <v>222005</v>
      </c>
      <c r="D612" s="781" t="s">
        <v>550</v>
      </c>
      <c r="E612" s="2" t="str">
        <f>OBRA!N610</f>
        <v>CUENTA CORRIENTE</v>
      </c>
      <c r="F612" s="662" t="s">
        <v>1427</v>
      </c>
      <c r="G612" s="880" t="s">
        <v>2864</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626"/>
      <c r="AM612" s="1546"/>
      <c r="AN612" s="565"/>
      <c r="AO612" s="565"/>
      <c r="AP612" s="565"/>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hidden="1" customHeight="1">
      <c r="A613" s="16">
        <f>OBRA!K611</f>
        <v>2022</v>
      </c>
      <c r="B613" s="781" t="s">
        <v>3947</v>
      </c>
      <c r="C613" s="781">
        <f>OBRA!L611</f>
        <v>222006</v>
      </c>
      <c r="D613" s="781" t="s">
        <v>550</v>
      </c>
      <c r="E613" s="2" t="str">
        <f>OBRA!N611</f>
        <v>CUENTA CORRIENTE</v>
      </c>
      <c r="F613" s="662" t="s">
        <v>1427</v>
      </c>
      <c r="G613" s="880" t="s">
        <v>2864</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4420</v>
      </c>
      <c r="L613" s="674"/>
      <c r="M613" s="674" t="s">
        <v>2657</v>
      </c>
      <c r="N613" s="674" t="str">
        <f>OBRA!R611</f>
        <v>CABECERA MUNICIPAL</v>
      </c>
      <c r="O613" s="1611" t="s">
        <v>4510</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5668</v>
      </c>
      <c r="AB613" s="148" t="str">
        <f t="shared" si="44"/>
        <v>ING. SERGIO CABRERA</v>
      </c>
      <c r="AC613" s="146" t="s">
        <v>1922</v>
      </c>
      <c r="AD613" s="148" t="s">
        <v>4432</v>
      </c>
      <c r="AE613" s="184" t="str">
        <f>OBRA!Y611</f>
        <v>ARQ. FRANCISCO SALAZAR</v>
      </c>
      <c r="AF613" s="19">
        <v>1</v>
      </c>
      <c r="AG613" s="2" t="s">
        <v>6433</v>
      </c>
      <c r="AH613" s="184">
        <f>P613/AF613</f>
        <v>10000.000400000001</v>
      </c>
      <c r="AI613" s="511"/>
      <c r="AJ613" s="507"/>
      <c r="AK613" s="1991">
        <v>1</v>
      </c>
      <c r="AL613" s="626"/>
      <c r="AM613" s="1546"/>
      <c r="AN613" s="565"/>
      <c r="AO613" s="565"/>
      <c r="AP613" s="565"/>
      <c r="AQ613" s="507"/>
      <c r="AR613" s="507"/>
      <c r="AS613" s="512"/>
      <c r="AT613" s="507"/>
      <c r="AU613" s="507"/>
      <c r="AV613" s="507"/>
      <c r="AW613" s="507"/>
      <c r="AX613" s="507"/>
      <c r="AY613" s="507"/>
      <c r="AZ613" s="507"/>
      <c r="BA613" s="507"/>
      <c r="BB613" s="507"/>
      <c r="BC613" s="507"/>
      <c r="BD613" s="507"/>
      <c r="BE613" s="507"/>
      <c r="BF613" s="507"/>
      <c r="BG613" s="507"/>
      <c r="BH613" s="507"/>
      <c r="BI613" s="33"/>
      <c r="BJ613" s="12"/>
    </row>
    <row r="614" spans="1:62" ht="15" hidden="1" customHeight="1">
      <c r="A614" s="16">
        <f>OBRA!K612</f>
        <v>2022</v>
      </c>
      <c r="B614" s="781" t="s">
        <v>3947</v>
      </c>
      <c r="C614" s="781">
        <f>OBRA!L612</f>
        <v>222007</v>
      </c>
      <c r="D614" s="781"/>
      <c r="E614" s="2" t="str">
        <f>OBRA!N612</f>
        <v>CUENTA CORRIENTE</v>
      </c>
      <c r="F614" s="662" t="s">
        <v>1427</v>
      </c>
      <c r="G614" s="880" t="s">
        <v>2864</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626"/>
      <c r="AM614" s="1546"/>
      <c r="AN614" s="565"/>
      <c r="AO614" s="565"/>
      <c r="AP614" s="565"/>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hidden="1" customHeight="1">
      <c r="A615" s="16">
        <f>OBRA!K613</f>
        <v>2022</v>
      </c>
      <c r="B615" s="781" t="s">
        <v>3947</v>
      </c>
      <c r="C615" s="781">
        <f>OBRA!L613</f>
        <v>222008</v>
      </c>
      <c r="D615" s="781" t="s">
        <v>550</v>
      </c>
      <c r="E615" s="2" t="str">
        <f>OBRA!N613</f>
        <v>CUENTA CORRIENTE</v>
      </c>
      <c r="F615" s="662" t="s">
        <v>1427</v>
      </c>
      <c r="G615" s="880" t="s">
        <v>2864</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4419</v>
      </c>
      <c r="L615" s="674"/>
      <c r="M615" s="674" t="s">
        <v>5927</v>
      </c>
      <c r="N615" s="674" t="str">
        <f>OBRA!R613</f>
        <v>SAN JUAN COSALÁ</v>
      </c>
      <c r="O615" s="1611" t="s">
        <v>4510</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5668</v>
      </c>
      <c r="AB615" s="148" t="str">
        <f t="shared" si="44"/>
        <v>ING. SERGIO CABRERA</v>
      </c>
      <c r="AC615" s="146" t="s">
        <v>1922</v>
      </c>
      <c r="AD615" s="148" t="s">
        <v>4432</v>
      </c>
      <c r="AE615" s="184" t="str">
        <f>OBRA!Y613</f>
        <v>ARQ. FRANCISCO SALAZAR</v>
      </c>
      <c r="AF615" s="19">
        <v>1</v>
      </c>
      <c r="AG615" s="2" t="s">
        <v>6433</v>
      </c>
      <c r="AH615" s="184">
        <f t="shared" ref="AH615:AH621" si="45">P615/AF615</f>
        <v>7000.0199999999995</v>
      </c>
      <c r="AI615" s="511"/>
      <c r="AJ615" s="511"/>
      <c r="AK615" s="511"/>
      <c r="AL615" s="626"/>
      <c r="AM615" s="1546"/>
      <c r="AN615" s="565"/>
      <c r="AO615" s="565"/>
      <c r="AP615" s="565"/>
      <c r="AQ615" s="507"/>
      <c r="AR615" s="507"/>
      <c r="AS615" s="512"/>
      <c r="AT615" s="507"/>
      <c r="AU615" s="507"/>
      <c r="AV615" s="507"/>
      <c r="AW615" s="507"/>
      <c r="AX615" s="507"/>
      <c r="AY615" s="507"/>
      <c r="AZ615" s="507"/>
      <c r="BA615" s="507"/>
      <c r="BB615" s="507"/>
      <c r="BC615" s="507"/>
      <c r="BD615" s="507"/>
      <c r="BE615" s="507"/>
      <c r="BF615" s="507"/>
      <c r="BG615" s="507"/>
      <c r="BH615" s="507"/>
      <c r="BI615" s="33"/>
      <c r="BJ615" s="12"/>
    </row>
    <row r="616" spans="1:62" ht="100.5" hidden="1" customHeight="1">
      <c r="A616" s="16">
        <f>OBRA!K614</f>
        <v>2022</v>
      </c>
      <c r="B616" s="781" t="s">
        <v>3947</v>
      </c>
      <c r="C616" s="781">
        <f>OBRA!L614</f>
        <v>222009</v>
      </c>
      <c r="D616" s="781" t="s">
        <v>550</v>
      </c>
      <c r="E616" s="2" t="str">
        <f>OBRA!N614</f>
        <v>CUENTA CORRIENTE</v>
      </c>
      <c r="F616" s="662" t="s">
        <v>1427</v>
      </c>
      <c r="G616" s="880" t="s">
        <v>2864</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4422</v>
      </c>
      <c r="L616" s="674"/>
      <c r="M616" s="674" t="s">
        <v>5928</v>
      </c>
      <c r="N616" s="674" t="str">
        <f>OBRA!R614</f>
        <v>ZAPOTITÁN DE HIDALGO</v>
      </c>
      <c r="O616" s="1611" t="s">
        <v>4510</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5669</v>
      </c>
      <c r="AB616" s="148" t="s">
        <v>4834</v>
      </c>
      <c r="AC616" s="1817" t="s">
        <v>4433</v>
      </c>
      <c r="AD616" s="1816" t="s">
        <v>6784</v>
      </c>
      <c r="AE616" s="184" t="str">
        <f>OBRA!Y614</f>
        <v>ARQ. FRANCISCO SALAZAR</v>
      </c>
      <c r="AF616" s="19">
        <v>1</v>
      </c>
      <c r="AG616" s="2" t="s">
        <v>1573</v>
      </c>
      <c r="AH616" s="184">
        <f t="shared" si="45"/>
        <v>15659.999999999998</v>
      </c>
      <c r="AI616" s="511"/>
      <c r="AJ616" s="507"/>
      <c r="AK616" s="1991">
        <v>1</v>
      </c>
      <c r="AL616" s="626"/>
      <c r="AM616" s="1546"/>
      <c r="AN616" s="565"/>
      <c r="AO616" s="565"/>
      <c r="AP616" s="565"/>
      <c r="AQ616" s="507"/>
      <c r="AR616" s="507"/>
      <c r="AS616" s="512"/>
      <c r="AT616" s="507"/>
      <c r="AU616" s="507"/>
      <c r="AV616" s="507"/>
      <c r="AW616" s="507"/>
      <c r="AX616" s="507"/>
      <c r="AY616" s="507"/>
      <c r="AZ616" s="507"/>
      <c r="BA616" s="507"/>
      <c r="BB616" s="507"/>
      <c r="BC616" s="507"/>
      <c r="BD616" s="507"/>
      <c r="BE616" s="507"/>
      <c r="BF616" s="507"/>
      <c r="BG616" s="507"/>
      <c r="BH616" s="507"/>
      <c r="BI616" s="33"/>
      <c r="BJ616" s="12"/>
    </row>
    <row r="617" spans="1:62" ht="79.5" hidden="1" customHeight="1">
      <c r="A617" s="16">
        <f>OBRA!K615</f>
        <v>2022</v>
      </c>
      <c r="B617" s="781" t="s">
        <v>3947</v>
      </c>
      <c r="C617" s="781">
        <f>OBRA!L615</f>
        <v>222010</v>
      </c>
      <c r="D617" s="781" t="s">
        <v>550</v>
      </c>
      <c r="E617" s="2" t="str">
        <f>OBRA!N615</f>
        <v>CUENTA CORRIENTE</v>
      </c>
      <c r="F617" s="662" t="s">
        <v>1427</v>
      </c>
      <c r="G617" s="880" t="s">
        <v>2864</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4417</v>
      </c>
      <c r="L617" s="674"/>
      <c r="M617" s="674" t="s">
        <v>5929</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5668</v>
      </c>
      <c r="AB617" s="148" t="str">
        <f t="shared" si="44"/>
        <v>PEDRO MACHUCA SAAVEDRA</v>
      </c>
      <c r="AC617" s="147" t="s">
        <v>67</v>
      </c>
      <c r="AD617" s="1816" t="s">
        <v>4435</v>
      </c>
      <c r="AE617" s="184" t="str">
        <f>OBRA!Y615</f>
        <v>ARQ. FRANCISCO SALAZAR</v>
      </c>
      <c r="AF617" s="19">
        <v>1</v>
      </c>
      <c r="AG617" s="2" t="s">
        <v>1573</v>
      </c>
      <c r="AH617" s="184">
        <f t="shared" si="45"/>
        <v>4000</v>
      </c>
      <c r="AI617" s="511"/>
      <c r="AJ617" s="507"/>
      <c r="AK617" s="1991">
        <v>1</v>
      </c>
      <c r="AL617" s="626"/>
      <c r="AM617" s="1546"/>
      <c r="AN617" s="565"/>
      <c r="AO617" s="565"/>
      <c r="AP617" s="565"/>
      <c r="AQ617" s="507"/>
      <c r="AR617" s="507"/>
      <c r="AS617" s="512"/>
      <c r="AT617" s="507"/>
      <c r="AU617" s="507"/>
      <c r="AV617" s="507"/>
      <c r="AW617" s="507"/>
      <c r="AX617" s="507"/>
      <c r="AY617" s="507"/>
      <c r="AZ617" s="507"/>
      <c r="BA617" s="507"/>
      <c r="BB617" s="507"/>
      <c r="BC617" s="507"/>
      <c r="BD617" s="507"/>
      <c r="BE617" s="507"/>
      <c r="BF617" s="507"/>
      <c r="BG617" s="507"/>
      <c r="BH617" s="507"/>
      <c r="BI617" s="33"/>
      <c r="BJ617" s="12"/>
    </row>
    <row r="618" spans="1:62" ht="80.25" hidden="1" customHeight="1">
      <c r="A618" s="16">
        <f>OBRA!K616</f>
        <v>2022</v>
      </c>
      <c r="B618" s="781" t="s">
        <v>3947</v>
      </c>
      <c r="C618" s="781">
        <f>OBRA!L616</f>
        <v>222011</v>
      </c>
      <c r="D618" s="781" t="s">
        <v>550</v>
      </c>
      <c r="E618" s="2" t="str">
        <f>OBRA!N616</f>
        <v>CUENTA CORRIENTE</v>
      </c>
      <c r="F618" s="662" t="s">
        <v>1427</v>
      </c>
      <c r="G618" s="880" t="s">
        <v>2864</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4423</v>
      </c>
      <c r="L618" s="674"/>
      <c r="M618" s="674" t="s">
        <v>5929</v>
      </c>
      <c r="N618" s="674" t="str">
        <f>OBRA!R616</f>
        <v>CHANTEPEC</v>
      </c>
      <c r="O618" s="532" t="s">
        <v>4511</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5668</v>
      </c>
      <c r="AB618" s="2" t="s">
        <v>3759</v>
      </c>
      <c r="AC618" s="1817" t="s">
        <v>4429</v>
      </c>
      <c r="AD618" s="1816" t="s">
        <v>5636</v>
      </c>
      <c r="AE618" s="184" t="str">
        <f>OBRA!Y616</f>
        <v>ARQ. FRANCISCO SALAZAR</v>
      </c>
      <c r="AF618" s="19">
        <v>1</v>
      </c>
      <c r="AG618" s="2" t="s">
        <v>6780</v>
      </c>
      <c r="AH618" s="184">
        <f t="shared" si="45"/>
        <v>17400</v>
      </c>
      <c r="AI618" s="511"/>
      <c r="AJ618" s="507"/>
      <c r="AK618" s="1991">
        <v>1</v>
      </c>
      <c r="AL618" s="626"/>
      <c r="AM618" s="1546"/>
      <c r="AN618" s="565"/>
      <c r="AO618" s="565"/>
      <c r="AP618" s="565"/>
      <c r="AQ618" s="507"/>
      <c r="AR618" s="507"/>
      <c r="AS618" s="512"/>
      <c r="AT618" s="507"/>
      <c r="AU618" s="507"/>
      <c r="AV618" s="507"/>
      <c r="AW618" s="507"/>
      <c r="AX618" s="507"/>
      <c r="AY618" s="507"/>
      <c r="AZ618" s="507"/>
      <c r="BA618" s="507"/>
      <c r="BB618" s="507"/>
      <c r="BC618" s="507"/>
      <c r="BD618" s="507"/>
      <c r="BE618" s="507"/>
      <c r="BF618" s="507"/>
      <c r="BG618" s="507"/>
      <c r="BH618" s="507"/>
      <c r="BI618" s="33"/>
      <c r="BJ618" s="12"/>
    </row>
    <row r="619" spans="1:62" ht="107.25" hidden="1" customHeight="1">
      <c r="A619" s="16">
        <f>OBRA!K617</f>
        <v>2022</v>
      </c>
      <c r="B619" s="781" t="s">
        <v>3947</v>
      </c>
      <c r="C619" s="781">
        <f>OBRA!L617</f>
        <v>222012</v>
      </c>
      <c r="D619" s="781" t="s">
        <v>550</v>
      </c>
      <c r="E619" s="2" t="str">
        <f>OBRA!N617</f>
        <v>CUENTA CORRIENTE</v>
      </c>
      <c r="F619" s="662" t="s">
        <v>1427</v>
      </c>
      <c r="G619" s="880" t="s">
        <v>2864</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4424</v>
      </c>
      <c r="L619" s="674"/>
      <c r="M619" s="674" t="s">
        <v>4013</v>
      </c>
      <c r="N619" s="674" t="str">
        <f>OBRA!R617</f>
        <v>CABECERA MUNICIPAL</v>
      </c>
      <c r="O619" s="532" t="s">
        <v>4511</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5668</v>
      </c>
      <c r="AB619" s="148" t="s">
        <v>4834</v>
      </c>
      <c r="AC619" s="1817" t="s">
        <v>4433</v>
      </c>
      <c r="AD619" s="1816" t="s">
        <v>6784</v>
      </c>
      <c r="AE619" s="184" t="str">
        <f>OBRA!Y617</f>
        <v>ARQ. FRANCISCO SALAZAR</v>
      </c>
      <c r="AF619" s="19">
        <v>9</v>
      </c>
      <c r="AG619" s="2" t="s">
        <v>6780</v>
      </c>
      <c r="AH619" s="184">
        <f t="shared" si="45"/>
        <v>3654</v>
      </c>
      <c r="AI619" s="511"/>
      <c r="AJ619" s="507"/>
      <c r="AK619" s="1991">
        <v>1</v>
      </c>
      <c r="AL619" s="626"/>
      <c r="AM619" s="1546"/>
      <c r="AN619" s="565"/>
      <c r="AO619" s="565"/>
      <c r="AP619" s="565"/>
      <c r="AQ619" s="507"/>
      <c r="AR619" s="507"/>
      <c r="AS619" s="512"/>
      <c r="AT619" s="507"/>
      <c r="AU619" s="507"/>
      <c r="AV619" s="507"/>
      <c r="AW619" s="507"/>
      <c r="AX619" s="507"/>
      <c r="AY619" s="507"/>
      <c r="AZ619" s="507"/>
      <c r="BA619" s="507"/>
      <c r="BB619" s="507"/>
      <c r="BC619" s="507"/>
      <c r="BD619" s="507"/>
      <c r="BE619" s="507"/>
      <c r="BF619" s="507"/>
      <c r="BG619" s="507"/>
      <c r="BH619" s="507"/>
      <c r="BI619" s="33"/>
      <c r="BJ619" s="12"/>
    </row>
    <row r="620" spans="1:62" ht="154.5" hidden="1" customHeight="1">
      <c r="A620" s="16">
        <f>OBRA!K618</f>
        <v>2022</v>
      </c>
      <c r="B620" s="781" t="s">
        <v>3947</v>
      </c>
      <c r="C620" s="781">
        <f>OBRA!L618</f>
        <v>222013</v>
      </c>
      <c r="D620" s="781" t="s">
        <v>550</v>
      </c>
      <c r="E620" s="2" t="str">
        <f>OBRA!N618</f>
        <v>CUENTA CORRIENTE</v>
      </c>
      <c r="F620" s="662" t="s">
        <v>1427</v>
      </c>
      <c r="G620" s="880" t="s">
        <v>2864</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4440</v>
      </c>
      <c r="L620" s="674"/>
      <c r="M620" s="674" t="s">
        <v>5930</v>
      </c>
      <c r="N620" s="674" t="str">
        <f>OBRA!R618</f>
        <v>HUEJOTITÁN</v>
      </c>
      <c r="O620" s="532" t="s">
        <v>4511</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5668</v>
      </c>
      <c r="AB620" s="148" t="s">
        <v>4834</v>
      </c>
      <c r="AC620" s="1817" t="s">
        <v>4433</v>
      </c>
      <c r="AD620" s="1816" t="s">
        <v>6784</v>
      </c>
      <c r="AE620" s="184" t="str">
        <f>OBRA!Y618</f>
        <v>ARQ. FRANCISCO SALAZAR</v>
      </c>
      <c r="AF620" s="19">
        <v>1</v>
      </c>
      <c r="AG620" s="2" t="s">
        <v>6780</v>
      </c>
      <c r="AH620" s="184">
        <f t="shared" si="45"/>
        <v>18270</v>
      </c>
      <c r="AI620" s="511"/>
      <c r="AJ620" s="511"/>
      <c r="AK620" s="511"/>
      <c r="AL620" s="626"/>
      <c r="AM620" s="1546"/>
      <c r="AN620" s="565"/>
      <c r="AO620" s="565"/>
      <c r="AP620" s="565"/>
      <c r="AQ620" s="507"/>
      <c r="AR620" s="507"/>
      <c r="AS620" s="512"/>
      <c r="AT620" s="507"/>
      <c r="AU620" s="507"/>
      <c r="AV620" s="507"/>
      <c r="AW620" s="507"/>
      <c r="AX620" s="507"/>
      <c r="AY620" s="507"/>
      <c r="AZ620" s="507"/>
      <c r="BA620" s="507"/>
      <c r="BB620" s="507"/>
      <c r="BC620" s="507"/>
      <c r="BD620" s="507"/>
      <c r="BE620" s="507"/>
      <c r="BF620" s="507"/>
      <c r="BG620" s="507"/>
      <c r="BH620" s="507"/>
      <c r="BI620" s="33"/>
      <c r="BJ620" s="12"/>
    </row>
    <row r="621" spans="1:62" ht="120" hidden="1" customHeight="1">
      <c r="A621" s="16">
        <f>OBRA!K619</f>
        <v>2022</v>
      </c>
      <c r="B621" s="781" t="s">
        <v>3947</v>
      </c>
      <c r="C621" s="781">
        <f>OBRA!L619</f>
        <v>222014</v>
      </c>
      <c r="D621" s="781" t="s">
        <v>550</v>
      </c>
      <c r="E621" s="2" t="str">
        <f>OBRA!N619</f>
        <v>CUENTA CORRIENTE</v>
      </c>
      <c r="F621" s="662" t="s">
        <v>1427</v>
      </c>
      <c r="G621" s="880" t="s">
        <v>2864</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4425</v>
      </c>
      <c r="L621" s="674"/>
      <c r="M621" s="3" t="s">
        <v>5931</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5668</v>
      </c>
      <c r="AB621" s="148" t="str">
        <f t="shared" si="44"/>
        <v>PEDRO MACHUCA SAAVEDRA</v>
      </c>
      <c r="AC621" s="147" t="s">
        <v>67</v>
      </c>
      <c r="AD621" s="148" t="s">
        <v>4435</v>
      </c>
      <c r="AE621" s="184" t="str">
        <f>OBRA!Y619</f>
        <v>ARQ. FRANCISCO SALAZAR</v>
      </c>
      <c r="AF621" s="19">
        <v>1</v>
      </c>
      <c r="AG621" s="2" t="s">
        <v>1573</v>
      </c>
      <c r="AH621" s="184">
        <f t="shared" si="45"/>
        <v>3500</v>
      </c>
      <c r="AI621" s="511"/>
      <c r="AJ621" s="507"/>
      <c r="AK621" s="1991">
        <v>1</v>
      </c>
      <c r="AL621" s="626"/>
      <c r="AM621" s="1546"/>
      <c r="AN621" s="565"/>
      <c r="AO621" s="565"/>
      <c r="AP621" s="565"/>
      <c r="AQ621" s="507"/>
      <c r="AR621" s="507"/>
      <c r="AS621" s="512"/>
      <c r="AT621" s="507"/>
      <c r="AU621" s="507"/>
      <c r="AV621" s="507"/>
      <c r="AW621" s="507"/>
      <c r="AX621" s="507"/>
      <c r="AY621" s="507"/>
      <c r="AZ621" s="507"/>
      <c r="BA621" s="507"/>
      <c r="BB621" s="507"/>
      <c r="BC621" s="507"/>
      <c r="BD621" s="507"/>
      <c r="BE621" s="507"/>
      <c r="BF621" s="507"/>
      <c r="BG621" s="507"/>
      <c r="BH621" s="507"/>
      <c r="BI621" s="33"/>
      <c r="BJ621" s="12"/>
    </row>
    <row r="622" spans="1:62" ht="15" hidden="1" customHeight="1">
      <c r="A622" s="16">
        <f>OBRA!K620</f>
        <v>2022</v>
      </c>
      <c r="B622" s="781" t="s">
        <v>3947</v>
      </c>
      <c r="C622" s="781">
        <f>OBRA!L620</f>
        <v>222015</v>
      </c>
      <c r="D622" s="781"/>
      <c r="E622" s="2" t="str">
        <f>OBRA!N620</f>
        <v>CUENTA CORRIENTE</v>
      </c>
      <c r="F622" s="662" t="s">
        <v>1427</v>
      </c>
      <c r="G622" s="880" t="s">
        <v>2864</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626"/>
      <c r="AM622" s="1546"/>
      <c r="AN622" s="565"/>
      <c r="AO622" s="565"/>
      <c r="AP622" s="565"/>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OBRA!K621</f>
        <v>2022</v>
      </c>
      <c r="B623" s="781" t="s">
        <v>3947</v>
      </c>
      <c r="C623" s="781">
        <f>OBRA!L621</f>
        <v>222016</v>
      </c>
      <c r="D623" s="781"/>
      <c r="E623" s="2" t="str">
        <f>OBRA!N621</f>
        <v>CUENTA CORRIENTE</v>
      </c>
      <c r="F623" s="662" t="s">
        <v>1427</v>
      </c>
      <c r="G623" s="880" t="s">
        <v>2864</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626"/>
      <c r="AM623" s="1546"/>
      <c r="AN623" s="565"/>
      <c r="AO623" s="565"/>
      <c r="AP623" s="565"/>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OBRA!K622</f>
        <v>2022</v>
      </c>
      <c r="B624" s="781" t="s">
        <v>3947</v>
      </c>
      <c r="C624" s="781">
        <f>OBRA!L622</f>
        <v>222017</v>
      </c>
      <c r="D624" s="781"/>
      <c r="E624" s="2" t="str">
        <f>OBRA!N622</f>
        <v>CUENTA CORRIENTE</v>
      </c>
      <c r="F624" s="662" t="s">
        <v>1427</v>
      </c>
      <c r="G624" s="880" t="s">
        <v>2864</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626"/>
      <c r="AM624" s="1546"/>
      <c r="AN624" s="565"/>
      <c r="AO624" s="565"/>
      <c r="AP624" s="565"/>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OBRA!K623</f>
        <v>2022</v>
      </c>
      <c r="B625" s="781" t="s">
        <v>3947</v>
      </c>
      <c r="C625" s="781">
        <f>OBRA!L623</f>
        <v>222018</v>
      </c>
      <c r="D625" s="781"/>
      <c r="E625" s="2" t="str">
        <f>OBRA!N623</f>
        <v>CUENTA CORRIENTE</v>
      </c>
      <c r="F625" s="662" t="s">
        <v>1427</v>
      </c>
      <c r="G625" s="880" t="s">
        <v>2864</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60" si="46">X625/AF625</f>
        <v>#DIV/0!</v>
      </c>
      <c r="AI625" s="511"/>
      <c r="AJ625" s="507"/>
      <c r="AK625" s="507"/>
      <c r="AL625" s="626"/>
      <c r="AM625" s="1546"/>
      <c r="AN625" s="565"/>
      <c r="AO625" s="565"/>
      <c r="AP625" s="565"/>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OBRA!K624</f>
        <v>2022</v>
      </c>
      <c r="B626" s="781" t="s">
        <v>3947</v>
      </c>
      <c r="C626" s="781">
        <f>OBRA!L624</f>
        <v>222019</v>
      </c>
      <c r="D626" s="781"/>
      <c r="E626" s="2" t="str">
        <f>OBRA!N624</f>
        <v>CUENTA CORRIENTE</v>
      </c>
      <c r="F626" s="662" t="s">
        <v>1427</v>
      </c>
      <c r="G626" s="880" t="s">
        <v>2864</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626"/>
      <c r="AM626" s="1546"/>
      <c r="AN626" s="565"/>
      <c r="AO626" s="565"/>
      <c r="AP626" s="565"/>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OBRA!K625</f>
        <v>2022</v>
      </c>
      <c r="B627" s="781" t="s">
        <v>3947</v>
      </c>
      <c r="C627" s="781">
        <f>OBRA!L625</f>
        <v>222020</v>
      </c>
      <c r="D627" s="781"/>
      <c r="E627" s="2" t="str">
        <f>OBRA!N625</f>
        <v>CUENTA CORRIENTE</v>
      </c>
      <c r="F627" s="662" t="s">
        <v>1427</v>
      </c>
      <c r="G627" s="880" t="s">
        <v>2864</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626"/>
      <c r="AM627" s="1546"/>
      <c r="AN627" s="565"/>
      <c r="AO627" s="565"/>
      <c r="AP627" s="565"/>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hidden="1" customHeight="1">
      <c r="A628" s="16">
        <f>OBRA!K626</f>
        <v>2022</v>
      </c>
      <c r="B628" s="781" t="s">
        <v>3947</v>
      </c>
      <c r="C628" s="781">
        <f>OBRA!L626</f>
        <v>223001</v>
      </c>
      <c r="D628" s="781" t="s">
        <v>550</v>
      </c>
      <c r="E628" s="2" t="str">
        <f>OBRA!N626</f>
        <v>CUENTA CORRIENTE</v>
      </c>
      <c r="F628" s="662" t="s">
        <v>1427</v>
      </c>
      <c r="G628" s="880" t="s">
        <v>2864</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4426</v>
      </c>
      <c r="L628" s="674"/>
      <c r="M628" s="3" t="s">
        <v>5932</v>
      </c>
      <c r="N628" s="3" t="str">
        <f>OBRA!R626</f>
        <v>LA LOMA</v>
      </c>
      <c r="O628" s="544"/>
      <c r="P628" s="4">
        <f>OBRA!S626</f>
        <v>1739.9999999999998</v>
      </c>
      <c r="Q628" s="1045">
        <f t="shared" si="43"/>
        <v>1500</v>
      </c>
      <c r="R628" s="4" t="s">
        <v>5594</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5669</v>
      </c>
      <c r="AB628" s="148" t="str">
        <f t="shared" si="44"/>
        <v>ALSERCON SA DE CV</v>
      </c>
      <c r="AC628" s="146" t="s">
        <v>2165</v>
      </c>
      <c r="AD628" s="148" t="s">
        <v>4436</v>
      </c>
      <c r="AE628" s="184" t="str">
        <f>OBRA!Y626</f>
        <v>C. DANIEL RODRIGUEZ VALENZUELA</v>
      </c>
      <c r="AF628" s="19">
        <v>1</v>
      </c>
      <c r="AG628" s="2" t="s">
        <v>6778</v>
      </c>
      <c r="AH628" s="184">
        <f t="shared" ref="AH628:AH635" si="47">P628/AF628</f>
        <v>1739.9999999999998</v>
      </c>
      <c r="AI628" s="511"/>
      <c r="AJ628" s="507"/>
      <c r="AK628" s="1991">
        <v>1</v>
      </c>
      <c r="AL628" s="626"/>
      <c r="AM628" s="1546"/>
      <c r="AN628" s="565"/>
      <c r="AO628" s="565"/>
      <c r="AP628" s="565"/>
      <c r="AQ628" s="507"/>
      <c r="AR628" s="507"/>
      <c r="AS628" s="512"/>
      <c r="AT628" s="507"/>
      <c r="AU628" s="507"/>
      <c r="AV628" s="507"/>
      <c r="AW628" s="507"/>
      <c r="AX628" s="507"/>
      <c r="AY628" s="507"/>
      <c r="AZ628" s="507"/>
      <c r="BA628" s="507"/>
      <c r="BB628" s="507"/>
      <c r="BC628" s="507"/>
      <c r="BD628" s="507"/>
      <c r="BE628" s="507"/>
      <c r="BF628" s="507"/>
      <c r="BG628" s="507"/>
      <c r="BH628" s="507"/>
      <c r="BI628" s="33"/>
      <c r="BJ628" s="12"/>
    </row>
    <row r="629" spans="1:62" ht="99.75" hidden="1" customHeight="1">
      <c r="A629" s="16">
        <f>OBRA!K627</f>
        <v>2022</v>
      </c>
      <c r="B629" s="781" t="s">
        <v>3947</v>
      </c>
      <c r="C629" s="781">
        <f>OBRA!L627</f>
        <v>223002</v>
      </c>
      <c r="D629" s="781" t="s">
        <v>550</v>
      </c>
      <c r="E629" s="2" t="str">
        <f>OBRA!N627</f>
        <v>CUENTA CORRIENTE</v>
      </c>
      <c r="F629" s="662" t="s">
        <v>1427</v>
      </c>
      <c r="G629" s="880" t="s">
        <v>2864</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4427</v>
      </c>
      <c r="L629" s="674"/>
      <c r="M629" s="3" t="s">
        <v>5933</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5669</v>
      </c>
      <c r="AB629" s="148" t="str">
        <f t="shared" si="44"/>
        <v xml:space="preserve">DORIA &amp; SAMPIER CONSTRUCTORA, S.A. DE C.V. </v>
      </c>
      <c r="AC629" s="146" t="s">
        <v>4404</v>
      </c>
      <c r="AD629" s="148" t="s">
        <v>4437</v>
      </c>
      <c r="AE629" s="184" t="str">
        <f>OBRA!Y627</f>
        <v>C. DANIEL RODRIGUEZ VALENZUELA</v>
      </c>
      <c r="AF629" s="19">
        <v>1</v>
      </c>
      <c r="AG629" s="2" t="s">
        <v>6778</v>
      </c>
      <c r="AH629" s="184">
        <f t="shared" si="47"/>
        <v>638</v>
      </c>
      <c r="AI629" s="511"/>
      <c r="AJ629" s="507"/>
      <c r="AK629" s="1991">
        <v>1</v>
      </c>
      <c r="AL629" s="626"/>
      <c r="AM629" s="1546"/>
      <c r="AN629" s="565"/>
      <c r="AO629" s="565"/>
      <c r="AP629" s="565"/>
      <c r="AQ629" s="507"/>
      <c r="AR629" s="507"/>
      <c r="AS629" s="512"/>
      <c r="AT629" s="507"/>
      <c r="AU629" s="507"/>
      <c r="AV629" s="507"/>
      <c r="AW629" s="507"/>
      <c r="AX629" s="507"/>
      <c r="AY629" s="507"/>
      <c r="AZ629" s="507"/>
      <c r="BA629" s="507"/>
      <c r="BB629" s="507"/>
      <c r="BC629" s="507"/>
      <c r="BD629" s="507"/>
      <c r="BE629" s="507"/>
      <c r="BF629" s="507"/>
      <c r="BG629" s="507"/>
      <c r="BH629" s="507"/>
      <c r="BI629" s="33"/>
      <c r="BJ629" s="12"/>
    </row>
    <row r="630" spans="1:62" ht="114" hidden="1" customHeight="1">
      <c r="A630" s="16">
        <f>OBRA!K628</f>
        <v>2022</v>
      </c>
      <c r="B630" s="781" t="s">
        <v>3947</v>
      </c>
      <c r="C630" s="781">
        <f>OBRA!L628</f>
        <v>223003</v>
      </c>
      <c r="D630" s="781" t="s">
        <v>550</v>
      </c>
      <c r="E630" s="2" t="str">
        <f>OBRA!N628</f>
        <v>CUENTA CORRIENTE</v>
      </c>
      <c r="F630" s="662" t="s">
        <v>1427</v>
      </c>
      <c r="G630" s="880" t="s">
        <v>2864</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4428</v>
      </c>
      <c r="L630" s="674"/>
      <c r="M630" s="3" t="s">
        <v>5932</v>
      </c>
      <c r="N630" s="3" t="str">
        <f>OBRA!R628</f>
        <v>LA LOMA</v>
      </c>
      <c r="O630" s="544"/>
      <c r="P630" s="4">
        <f>OBRA!S628</f>
        <v>1739.9999999999998</v>
      </c>
      <c r="Q630" s="1045">
        <f t="shared" si="43"/>
        <v>1500</v>
      </c>
      <c r="R630" s="4" t="s">
        <v>5594</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5669</v>
      </c>
      <c r="AB630" s="148" t="str">
        <f t="shared" si="44"/>
        <v>ALSERCON SA DE CV</v>
      </c>
      <c r="AC630" s="146" t="s">
        <v>4404</v>
      </c>
      <c r="AD630" s="148" t="s">
        <v>4437</v>
      </c>
      <c r="AE630" s="184" t="str">
        <f>OBRA!Y628</f>
        <v>C. DANIEL RODRIGUEZ VALENZUELA</v>
      </c>
      <c r="AF630" s="19">
        <v>1</v>
      </c>
      <c r="AG630" s="2" t="s">
        <v>6778</v>
      </c>
      <c r="AH630" s="184">
        <f t="shared" si="47"/>
        <v>1739.9999999999998</v>
      </c>
      <c r="AI630" s="511"/>
      <c r="AJ630" s="507"/>
      <c r="AK630" s="1991">
        <v>1</v>
      </c>
      <c r="AL630" s="626"/>
      <c r="AM630" s="1546"/>
      <c r="AN630" s="565"/>
      <c r="AO630" s="565"/>
      <c r="AP630" s="565"/>
      <c r="AQ630" s="507"/>
      <c r="AR630" s="507"/>
      <c r="AS630" s="512"/>
      <c r="AT630" s="507"/>
      <c r="AU630" s="507"/>
      <c r="AV630" s="507"/>
      <c r="AW630" s="507"/>
      <c r="AX630" s="507"/>
      <c r="AY630" s="507"/>
      <c r="AZ630" s="507"/>
      <c r="BA630" s="507"/>
      <c r="BB630" s="507"/>
      <c r="BC630" s="507"/>
      <c r="BD630" s="507"/>
      <c r="BE630" s="507"/>
      <c r="BF630" s="507"/>
      <c r="BG630" s="507"/>
      <c r="BH630" s="507"/>
      <c r="BI630" s="33"/>
      <c r="BJ630" s="12"/>
    </row>
    <row r="631" spans="1:62" ht="94.5" hidden="1" customHeight="1">
      <c r="A631" s="16">
        <f>OBRA!K629</f>
        <v>2022</v>
      </c>
      <c r="B631" s="781" t="s">
        <v>3947</v>
      </c>
      <c r="C631" s="781">
        <f>OBRA!L629</f>
        <v>223004</v>
      </c>
      <c r="D631" s="781" t="s">
        <v>550</v>
      </c>
      <c r="E631" s="2" t="str">
        <f>OBRA!N629</f>
        <v>CUENTA CORRIENTE</v>
      </c>
      <c r="F631" s="662" t="s">
        <v>1427</v>
      </c>
      <c r="G631" s="880" t="s">
        <v>2864</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5924</v>
      </c>
      <c r="L631" s="3"/>
      <c r="M631" s="3" t="s">
        <v>5932</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5668</v>
      </c>
      <c r="AB631" s="148" t="str">
        <f t="shared" si="44"/>
        <v>ING. SERGIO CABRERA</v>
      </c>
      <c r="AC631" s="146" t="s">
        <v>1922</v>
      </c>
      <c r="AD631" s="148" t="s">
        <v>4432</v>
      </c>
      <c r="AE631" s="184" t="str">
        <f>OBRA!Y629</f>
        <v>C. DANIEL RODRIGUEZ VALENZUELA</v>
      </c>
      <c r="AF631" s="19">
        <v>1</v>
      </c>
      <c r="AG631" s="2" t="s">
        <v>6778</v>
      </c>
      <c r="AH631" s="184">
        <f t="shared" si="47"/>
        <v>1144.8851999999999</v>
      </c>
      <c r="AI631" s="511"/>
      <c r="AJ631" s="507"/>
      <c r="AK631" s="1991">
        <v>1</v>
      </c>
      <c r="AL631" s="626"/>
      <c r="AM631" s="1546"/>
      <c r="AN631" s="565"/>
      <c r="AO631" s="565"/>
      <c r="AP631" s="565"/>
      <c r="AQ631" s="507"/>
      <c r="AR631" s="507"/>
      <c r="AS631" s="512"/>
      <c r="AT631" s="507"/>
      <c r="AU631" s="507"/>
      <c r="AV631" s="507"/>
      <c r="AW631" s="507"/>
      <c r="AX631" s="507"/>
      <c r="AY631" s="507"/>
      <c r="AZ631" s="507"/>
      <c r="BA631" s="507"/>
      <c r="BB631" s="507"/>
      <c r="BC631" s="507"/>
      <c r="BD631" s="507"/>
      <c r="BE631" s="507"/>
      <c r="BF631" s="507"/>
      <c r="BG631" s="507"/>
      <c r="BH631" s="507"/>
      <c r="BI631" s="33"/>
      <c r="BJ631" s="12"/>
    </row>
    <row r="632" spans="1:62" ht="88.5" hidden="1" customHeight="1">
      <c r="A632" s="16">
        <f>OBRA!K630</f>
        <v>2022</v>
      </c>
      <c r="B632" s="781" t="s">
        <v>3947</v>
      </c>
      <c r="C632" s="781">
        <f>OBRA!L630</f>
        <v>223005</v>
      </c>
      <c r="D632" s="781" t="s">
        <v>550</v>
      </c>
      <c r="E632" s="2" t="str">
        <f>OBRA!N630</f>
        <v>CUENTA CORRIENTE</v>
      </c>
      <c r="F632" s="662" t="s">
        <v>1427</v>
      </c>
      <c r="G632" s="880" t="s">
        <v>2864</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5935</v>
      </c>
      <c r="L632" s="3"/>
      <c r="M632" s="3" t="s">
        <v>5932</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5668</v>
      </c>
      <c r="AB632" s="148" t="str">
        <f t="shared" si="44"/>
        <v>ING. SERGIO CABRERA</v>
      </c>
      <c r="AC632" s="146" t="s">
        <v>1922</v>
      </c>
      <c r="AD632" s="148" t="s">
        <v>4432</v>
      </c>
      <c r="AE632" s="184" t="str">
        <f>OBRA!Y630</f>
        <v>C. DANIEL RODRIGUEZ VALENZUELA</v>
      </c>
      <c r="AF632" s="19">
        <v>1</v>
      </c>
      <c r="AG632" s="2" t="s">
        <v>6778</v>
      </c>
      <c r="AH632" s="184">
        <f t="shared" si="47"/>
        <v>1850.8843999999997</v>
      </c>
      <c r="AI632" s="511"/>
      <c r="AJ632" s="507"/>
      <c r="AK632" s="1991">
        <v>1</v>
      </c>
      <c r="AL632" s="626"/>
      <c r="AM632" s="1546"/>
      <c r="AN632" s="565"/>
      <c r="AO632" s="565"/>
      <c r="AP632" s="565"/>
      <c r="AQ632" s="507"/>
      <c r="AR632" s="507"/>
      <c r="AS632" s="512"/>
      <c r="AT632" s="507"/>
      <c r="AU632" s="507"/>
      <c r="AV632" s="507"/>
      <c r="AW632" s="507"/>
      <c r="AX632" s="507"/>
      <c r="AY632" s="507"/>
      <c r="AZ632" s="507"/>
      <c r="BA632" s="507"/>
      <c r="BB632" s="507"/>
      <c r="BC632" s="507"/>
      <c r="BD632" s="507"/>
      <c r="BE632" s="507"/>
      <c r="BF632" s="507"/>
      <c r="BG632" s="507"/>
      <c r="BH632" s="507"/>
      <c r="BI632" s="33"/>
      <c r="BJ632" s="12"/>
    </row>
    <row r="633" spans="1:62" ht="107.25" hidden="1" customHeight="1">
      <c r="A633" s="16">
        <f>OBRA!K631</f>
        <v>2022</v>
      </c>
      <c r="B633" s="781" t="s">
        <v>3947</v>
      </c>
      <c r="C633" s="781">
        <f>OBRA!L631</f>
        <v>223006</v>
      </c>
      <c r="D633" s="781" t="s">
        <v>550</v>
      </c>
      <c r="E633" s="2" t="str">
        <f>OBRA!N631</f>
        <v>CUENTA CORRIENTE</v>
      </c>
      <c r="F633" s="662" t="s">
        <v>1427</v>
      </c>
      <c r="G633" s="880" t="s">
        <v>2864</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5936</v>
      </c>
      <c r="L633" s="3"/>
      <c r="M633" s="3" t="s">
        <v>5934</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5668</v>
      </c>
      <c r="AB633" s="148" t="str">
        <f t="shared" si="44"/>
        <v>ING. SERGIO CABRERA</v>
      </c>
      <c r="AC633" s="146" t="s">
        <v>1922</v>
      </c>
      <c r="AD633" s="148" t="s">
        <v>4432</v>
      </c>
      <c r="AE633" s="184" t="str">
        <f>OBRA!Y631</f>
        <v>C. DANIEL RODRIGUEZ VALENZUELA</v>
      </c>
      <c r="AF633" s="19">
        <v>1</v>
      </c>
      <c r="AG633" s="2" t="s">
        <v>6778</v>
      </c>
      <c r="AH633" s="184">
        <f t="shared" si="47"/>
        <v>854.74599999999998</v>
      </c>
      <c r="AI633" s="511"/>
      <c r="AJ633" s="507"/>
      <c r="AK633" s="1991">
        <v>1</v>
      </c>
      <c r="AL633" s="626"/>
      <c r="AM633" s="1546"/>
      <c r="AN633" s="565"/>
      <c r="AO633" s="565"/>
      <c r="AP633" s="565"/>
      <c r="AQ633" s="507"/>
      <c r="AR633" s="507"/>
      <c r="AS633" s="512"/>
      <c r="AT633" s="507"/>
      <c r="AU633" s="507"/>
      <c r="AV633" s="507"/>
      <c r="AW633" s="507"/>
      <c r="AX633" s="507"/>
      <c r="AY633" s="507"/>
      <c r="AZ633" s="507"/>
      <c r="BA633" s="507"/>
      <c r="BB633" s="507"/>
      <c r="BC633" s="507"/>
      <c r="BD633" s="507"/>
      <c r="BE633" s="507"/>
      <c r="BF633" s="507"/>
      <c r="BG633" s="507"/>
      <c r="BH633" s="507"/>
      <c r="BI633" s="33"/>
      <c r="BJ633" s="12"/>
    </row>
    <row r="634" spans="1:62" ht="105" hidden="1" customHeight="1">
      <c r="A634" s="16">
        <f>OBRA!K632</f>
        <v>2022</v>
      </c>
      <c r="B634" s="781" t="s">
        <v>3947</v>
      </c>
      <c r="C634" s="781">
        <f>OBRA!L632</f>
        <v>223007</v>
      </c>
      <c r="D634" s="781" t="s">
        <v>550</v>
      </c>
      <c r="E634" s="2" t="str">
        <f>OBRA!N632</f>
        <v>CUENTA CORRIENTE</v>
      </c>
      <c r="F634" s="662" t="s">
        <v>1427</v>
      </c>
      <c r="G634" s="880" t="s">
        <v>2864</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5937</v>
      </c>
      <c r="L634" s="3"/>
      <c r="M634" s="3" t="s">
        <v>5934</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5668</v>
      </c>
      <c r="AB634" s="148" t="str">
        <f t="shared" si="44"/>
        <v>ING. SERGIO CABRERA</v>
      </c>
      <c r="AC634" s="146" t="s">
        <v>1922</v>
      </c>
      <c r="AD634" s="148" t="s">
        <v>4432</v>
      </c>
      <c r="AE634" s="184" t="str">
        <f>OBRA!Y632</f>
        <v>C. DANIEL RODRIGUEZ VALENZUELA</v>
      </c>
      <c r="AF634" s="19">
        <v>1</v>
      </c>
      <c r="AG634" s="2" t="s">
        <v>6778</v>
      </c>
      <c r="AH634" s="184">
        <f t="shared" si="47"/>
        <v>818.2639999999999</v>
      </c>
      <c r="AI634" s="511"/>
      <c r="AJ634" s="507"/>
      <c r="AK634" s="1991">
        <v>1</v>
      </c>
      <c r="AL634" s="626"/>
      <c r="AM634" s="1546"/>
      <c r="AN634" s="565"/>
      <c r="AO634" s="565"/>
      <c r="AP634" s="565"/>
      <c r="AQ634" s="507"/>
      <c r="AR634" s="507"/>
      <c r="AS634" s="512"/>
      <c r="AT634" s="507"/>
      <c r="AU634" s="507"/>
      <c r="AV634" s="507"/>
      <c r="AW634" s="507"/>
      <c r="AX634" s="507"/>
      <c r="AY634" s="507"/>
      <c r="AZ634" s="507"/>
      <c r="BA634" s="507"/>
      <c r="BB634" s="507"/>
      <c r="BC634" s="507"/>
      <c r="BD634" s="507"/>
      <c r="BE634" s="507"/>
      <c r="BF634" s="507"/>
      <c r="BG634" s="507"/>
      <c r="BH634" s="507"/>
      <c r="BI634" s="33"/>
      <c r="BJ634" s="12"/>
    </row>
    <row r="635" spans="1:62" ht="87" hidden="1" customHeight="1">
      <c r="A635" s="16">
        <f>OBRA!K633</f>
        <v>2022</v>
      </c>
      <c r="B635" s="781" t="s">
        <v>3947</v>
      </c>
      <c r="C635" s="781">
        <f>OBRA!L633</f>
        <v>223008</v>
      </c>
      <c r="D635" s="781" t="s">
        <v>550</v>
      </c>
      <c r="E635" s="2" t="str">
        <f>OBRA!N633</f>
        <v>CUENTA CORRIENTE</v>
      </c>
      <c r="F635" s="662" t="s">
        <v>1427</v>
      </c>
      <c r="G635" s="880" t="s">
        <v>2864</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5938</v>
      </c>
      <c r="L635" s="3"/>
      <c r="M635" s="3" t="s">
        <v>5934</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5668</v>
      </c>
      <c r="AB635" s="148" t="str">
        <f t="shared" si="44"/>
        <v>ING. SERGIO CABRERA</v>
      </c>
      <c r="AC635" s="146" t="s">
        <v>1922</v>
      </c>
      <c r="AD635" s="148" t="s">
        <v>4432</v>
      </c>
      <c r="AE635" s="184" t="str">
        <f>OBRA!Y633</f>
        <v>C. DANIEL RODRIGUEZ VALENZUELA</v>
      </c>
      <c r="AF635" s="19">
        <v>1</v>
      </c>
      <c r="AG635" s="2" t="s">
        <v>6778</v>
      </c>
      <c r="AH635" s="184">
        <f t="shared" si="47"/>
        <v>376.51279999999997</v>
      </c>
      <c r="AI635" s="511"/>
      <c r="AJ635" s="507"/>
      <c r="AK635" s="1991">
        <v>1</v>
      </c>
      <c r="AL635" s="626"/>
      <c r="AM635" s="1546"/>
      <c r="AN635" s="565"/>
      <c r="AO635" s="565"/>
      <c r="AP635" s="565"/>
      <c r="AQ635" s="507"/>
      <c r="AR635" s="507"/>
      <c r="AS635" s="512"/>
      <c r="AT635" s="507"/>
      <c r="AU635" s="507"/>
      <c r="AV635" s="507"/>
      <c r="AW635" s="507"/>
      <c r="AX635" s="507"/>
      <c r="AY635" s="507"/>
      <c r="AZ635" s="507"/>
      <c r="BA635" s="507"/>
      <c r="BB635" s="507"/>
      <c r="BC635" s="507"/>
      <c r="BD635" s="507"/>
      <c r="BE635" s="507"/>
      <c r="BF635" s="507"/>
      <c r="BG635" s="507"/>
      <c r="BH635" s="507"/>
      <c r="BI635" s="33"/>
      <c r="BJ635" s="12"/>
    </row>
    <row r="636" spans="1:62" ht="15" hidden="1" customHeight="1">
      <c r="A636" s="16">
        <f>OBRA!K634</f>
        <v>2022</v>
      </c>
      <c r="B636" s="781" t="s">
        <v>3947</v>
      </c>
      <c r="C636" s="781">
        <f>OBRA!L634</f>
        <v>223009</v>
      </c>
      <c r="D636" s="781"/>
      <c r="E636" s="2">
        <f>OBRA!N634</f>
        <v>0</v>
      </c>
      <c r="F636" s="662" t="s">
        <v>1427</v>
      </c>
      <c r="G636" s="880" t="s">
        <v>2864</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626"/>
      <c r="AM636" s="1546"/>
      <c r="AN636" s="565"/>
      <c r="AO636" s="565"/>
      <c r="AP636" s="565"/>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OBRA!K635</f>
        <v>2022</v>
      </c>
      <c r="B637" s="781" t="s">
        <v>3947</v>
      </c>
      <c r="C637" s="781">
        <f>OBRA!L635</f>
        <v>223010</v>
      </c>
      <c r="D637" s="781"/>
      <c r="E637" s="2">
        <f>OBRA!N635</f>
        <v>0</v>
      </c>
      <c r="F637" s="662" t="s">
        <v>1427</v>
      </c>
      <c r="G637" s="880" t="s">
        <v>2864</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626"/>
      <c r="AM637" s="1546"/>
      <c r="AN637" s="565"/>
      <c r="AO637" s="565"/>
      <c r="AP637" s="565"/>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hidden="1" customHeight="1">
      <c r="A638" s="16">
        <f>OBRA!K636</f>
        <v>2022</v>
      </c>
      <c r="B638" s="781" t="s">
        <v>3947</v>
      </c>
      <c r="C638" s="781">
        <f>OBRA!L636</f>
        <v>224001</v>
      </c>
      <c r="D638" s="781" t="s">
        <v>550</v>
      </c>
      <c r="E638" s="2" t="str">
        <f>OBRA!N636</f>
        <v>RAMO 33</v>
      </c>
      <c r="F638" s="662" t="s">
        <v>1427</v>
      </c>
      <c r="G638" s="880"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5898</v>
      </c>
      <c r="L638" s="1575" t="s">
        <v>4748</v>
      </c>
      <c r="M638" s="674" t="s">
        <v>4397</v>
      </c>
      <c r="N638" s="674" t="str">
        <f>OBRA!R636</f>
        <v>LA LOMA</v>
      </c>
      <c r="O638" s="505" t="s">
        <v>4476</v>
      </c>
      <c r="P638" s="4">
        <f>OBRA!S636</f>
        <v>98067.87</v>
      </c>
      <c r="Q638" s="1045">
        <f t="shared" si="43"/>
        <v>84541.267241379319</v>
      </c>
      <c r="R638" s="1762"/>
      <c r="S638" s="6">
        <f>OBRA!T636</f>
        <v>44628</v>
      </c>
      <c r="T638" s="1156">
        <f>OBRA!W636</f>
        <v>44627</v>
      </c>
      <c r="U638" s="5">
        <f>OBRA!U636</f>
        <v>44634</v>
      </c>
      <c r="V638" s="11">
        <f>OBRA!V636</f>
        <v>44639</v>
      </c>
      <c r="W638" s="1582">
        <v>0</v>
      </c>
      <c r="X638" s="1041">
        <f>OBRA!AT636+OBRA!AU636</f>
        <v>97999</v>
      </c>
      <c r="Y638" s="1050" t="s">
        <v>4402</v>
      </c>
      <c r="Z638" s="146" t="str">
        <f>OBRA!X636</f>
        <v xml:space="preserve">SERVICIOS Y CONSTRUCCIONES NATENIO, S.A. DE C.V. </v>
      </c>
      <c r="AA638" s="146" t="s">
        <v>5669</v>
      </c>
      <c r="AB638" s="148" t="s">
        <v>2808</v>
      </c>
      <c r="AC638" s="1111" t="s">
        <v>2809</v>
      </c>
      <c r="AD638" s="400" t="s">
        <v>2972</v>
      </c>
      <c r="AE638" s="663" t="str">
        <f>OBRA!Y636</f>
        <v>C. DANIEL RODRIGUEZ VALENZUELA</v>
      </c>
      <c r="AF638" s="19">
        <v>92</v>
      </c>
      <c r="AG638" s="2" t="s">
        <v>1450</v>
      </c>
      <c r="AH638" s="607">
        <f t="shared" si="46"/>
        <v>1065.2065217391305</v>
      </c>
      <c r="AI638" s="2">
        <v>110</v>
      </c>
      <c r="AJ638" s="514">
        <v>110</v>
      </c>
      <c r="AK638" s="1763">
        <v>1</v>
      </c>
      <c r="AL638" s="1551">
        <v>20.278487999999999</v>
      </c>
      <c r="AM638" s="1552">
        <v>103.435028</v>
      </c>
      <c r="AN638" s="563" t="s">
        <v>4563</v>
      </c>
      <c r="AO638" s="563" t="s">
        <v>4563</v>
      </c>
      <c r="AP638" s="563" t="s">
        <v>4563</v>
      </c>
      <c r="AQ638" s="502" t="s">
        <v>4563</v>
      </c>
      <c r="AR638" s="502"/>
      <c r="AS638" s="697" t="s">
        <v>4563</v>
      </c>
      <c r="AT638" s="1852"/>
      <c r="AU638" s="1852"/>
      <c r="AV638" s="1852"/>
      <c r="AW638" s="1852"/>
      <c r="AX638" s="1852"/>
      <c r="AY638" s="1852"/>
      <c r="AZ638" s="1852"/>
      <c r="BA638" s="1852"/>
      <c r="BB638" s="507"/>
      <c r="BC638" s="507"/>
      <c r="BD638" s="507"/>
      <c r="BE638" s="507"/>
      <c r="BF638" s="507"/>
      <c r="BG638" s="507"/>
      <c r="BH638" s="507"/>
      <c r="BI638" s="33" t="s">
        <v>550</v>
      </c>
      <c r="BJ638" s="12"/>
    </row>
    <row r="639" spans="1:62" ht="73.5" hidden="1" customHeight="1">
      <c r="A639" s="16">
        <f>OBRA!K637</f>
        <v>2022</v>
      </c>
      <c r="B639" s="781" t="s">
        <v>3947</v>
      </c>
      <c r="C639" s="781">
        <f>OBRA!L637</f>
        <v>224002</v>
      </c>
      <c r="D639" s="781" t="s">
        <v>550</v>
      </c>
      <c r="E639" s="2" t="str">
        <f>OBRA!N637</f>
        <v>RAMO 33</v>
      </c>
      <c r="F639" s="662" t="s">
        <v>1427</v>
      </c>
      <c r="G639" s="880"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5899</v>
      </c>
      <c r="L639" s="1575" t="s">
        <v>4750</v>
      </c>
      <c r="M639" s="674" t="s">
        <v>6312</v>
      </c>
      <c r="N639" s="674" t="str">
        <f>OBRA!R637</f>
        <v>LA LOMA</v>
      </c>
      <c r="O639" s="505" t="s">
        <v>4476</v>
      </c>
      <c r="P639" s="4">
        <f>OBRA!S637</f>
        <v>160513.82999999999</v>
      </c>
      <c r="Q639" s="1045">
        <f t="shared" si="43"/>
        <v>138373.99137931035</v>
      </c>
      <c r="R639" s="1762"/>
      <c r="S639" s="6">
        <f>OBRA!T637</f>
        <v>44628</v>
      </c>
      <c r="T639" s="1156">
        <f>OBRA!W637</f>
        <v>44627</v>
      </c>
      <c r="U639" s="5">
        <f>OBRA!U637</f>
        <v>44634</v>
      </c>
      <c r="V639" s="11">
        <f>OBRA!V637</f>
        <v>44653</v>
      </c>
      <c r="W639" s="1582">
        <v>0</v>
      </c>
      <c r="X639" s="1041">
        <f>OBRA!AT637+OBRA!AU637</f>
        <v>160825.43</v>
      </c>
      <c r="Y639" s="1050" t="s">
        <v>4403</v>
      </c>
      <c r="Z639" s="146" t="str">
        <f>OBRA!X637</f>
        <v xml:space="preserve">DORIA &amp; SAMPIER CONSTRUCTORA, S.A. DE C.V. </v>
      </c>
      <c r="AA639" s="146" t="s">
        <v>5669</v>
      </c>
      <c r="AB639" s="148" t="s">
        <v>4446</v>
      </c>
      <c r="AC639" s="1111" t="s">
        <v>4404</v>
      </c>
      <c r="AD639" s="400" t="s">
        <v>4405</v>
      </c>
      <c r="AE639" s="663" t="str">
        <f>OBRA!Y637</f>
        <v>C. DANIEL RODRIGUEZ VALENZUELA</v>
      </c>
      <c r="AF639" s="19">
        <v>97</v>
      </c>
      <c r="AG639" s="2" t="s">
        <v>1450</v>
      </c>
      <c r="AH639" s="607">
        <f t="shared" si="46"/>
        <v>1657.9941237113401</v>
      </c>
      <c r="AI639" s="2">
        <v>130</v>
      </c>
      <c r="AJ639" s="514">
        <v>130</v>
      </c>
      <c r="AK639" s="1763">
        <v>1</v>
      </c>
      <c r="AL639" s="1551">
        <v>20.278373999999999</v>
      </c>
      <c r="AM639" s="1552">
        <v>103.43481300000001</v>
      </c>
      <c r="AN639" s="563" t="s">
        <v>4564</v>
      </c>
      <c r="AO639" s="1628" t="s">
        <v>4564</v>
      </c>
      <c r="AP639" s="563" t="s">
        <v>4564</v>
      </c>
      <c r="AQ639" s="502" t="s">
        <v>4564</v>
      </c>
      <c r="AR639" s="502"/>
      <c r="AS639" s="697" t="s">
        <v>4564</v>
      </c>
      <c r="AT639" s="1852"/>
      <c r="AU639" s="1852"/>
      <c r="AV639" s="1852"/>
      <c r="AW639" s="1852"/>
      <c r="AX639" s="1852"/>
      <c r="AY639" s="1852"/>
      <c r="AZ639" s="1852"/>
      <c r="BA639" s="1852"/>
      <c r="BB639" s="507"/>
      <c r="BC639" s="507"/>
      <c r="BD639" s="507"/>
      <c r="BE639" s="507"/>
      <c r="BF639" s="507"/>
      <c r="BG639" s="507"/>
      <c r="BH639" s="507"/>
      <c r="BI639" s="33" t="s">
        <v>550</v>
      </c>
      <c r="BJ639" s="12"/>
    </row>
    <row r="640" spans="1:62" ht="84.75" hidden="1" customHeight="1">
      <c r="A640" s="16">
        <f>OBRA!K638</f>
        <v>2022</v>
      </c>
      <c r="B640" s="781" t="s">
        <v>3947</v>
      </c>
      <c r="C640" s="781">
        <f>OBRA!L638</f>
        <v>224003</v>
      </c>
      <c r="D640" s="781" t="s">
        <v>550</v>
      </c>
      <c r="E640" s="2" t="str">
        <f>OBRA!N638</f>
        <v>RAMO 33</v>
      </c>
      <c r="F640" s="662" t="s">
        <v>1427</v>
      </c>
      <c r="G640" s="880"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5899</v>
      </c>
      <c r="L640" s="1575" t="s">
        <v>4750</v>
      </c>
      <c r="M640" s="674" t="s">
        <v>6313</v>
      </c>
      <c r="N640" s="674" t="str">
        <f>OBRA!R638</f>
        <v>LA LOMA</v>
      </c>
      <c r="O640" s="505" t="s">
        <v>4476</v>
      </c>
      <c r="P640" s="4">
        <f>OBRA!S638</f>
        <v>236056.39</v>
      </c>
      <c r="Q640" s="1045">
        <f t="shared" si="43"/>
        <v>203496.88793103452</v>
      </c>
      <c r="R640" s="1762"/>
      <c r="S640" s="6">
        <f>OBRA!T638</f>
        <v>44628</v>
      </c>
      <c r="T640" s="1156">
        <f>OBRA!W638</f>
        <v>44627</v>
      </c>
      <c r="U640" s="5">
        <f>OBRA!U638</f>
        <v>44634</v>
      </c>
      <c r="V640" s="11">
        <f>OBRA!V638</f>
        <v>44653</v>
      </c>
      <c r="W640" s="1582">
        <v>0</v>
      </c>
      <c r="X640" s="1041">
        <f>OBRA!AT638+OBRA!AU638</f>
        <v>295070.46000000002</v>
      </c>
      <c r="Y640" s="1050" t="s">
        <v>4406</v>
      </c>
      <c r="Z640" s="146" t="str">
        <f>OBRA!X638</f>
        <v xml:space="preserve">DORIA &amp; SAMPIER CONSTRUCTORA, S.A. DE C.V. </v>
      </c>
      <c r="AA640" s="146" t="s">
        <v>5669</v>
      </c>
      <c r="AB640" s="148" t="s">
        <v>4446</v>
      </c>
      <c r="AC640" s="1111" t="s">
        <v>4404</v>
      </c>
      <c r="AD640" s="400" t="s">
        <v>4405</v>
      </c>
      <c r="AE640" s="663" t="str">
        <f>OBRA!Y638</f>
        <v>C. DANIEL RODRIGUEZ VALENZUELA</v>
      </c>
      <c r="AF640" s="19">
        <v>151.55000000000001</v>
      </c>
      <c r="AG640" s="2" t="s">
        <v>1450</v>
      </c>
      <c r="AH640" s="607">
        <f t="shared" si="46"/>
        <v>1947.0172220389311</v>
      </c>
      <c r="AI640" s="2">
        <v>120</v>
      </c>
      <c r="AJ640" s="514">
        <v>120</v>
      </c>
      <c r="AK640" s="1763">
        <v>1</v>
      </c>
      <c r="AL640" s="1551">
        <v>20.278569000000001</v>
      </c>
      <c r="AM640" s="1552">
        <v>103.43415400000001</v>
      </c>
      <c r="AN640" s="563" t="s">
        <v>4565</v>
      </c>
      <c r="AO640" s="1628" t="s">
        <v>4565</v>
      </c>
      <c r="AP640" s="563" t="s">
        <v>4565</v>
      </c>
      <c r="AQ640" s="502" t="s">
        <v>4565</v>
      </c>
      <c r="AR640" s="502"/>
      <c r="AS640" s="697" t="s">
        <v>4565</v>
      </c>
      <c r="AT640" s="1852"/>
      <c r="AU640" s="1852"/>
      <c r="AV640" s="1852"/>
      <c r="AW640" s="1852"/>
      <c r="AX640" s="1852"/>
      <c r="AY640" s="1852"/>
      <c r="AZ640" s="1852"/>
      <c r="BA640" s="1852"/>
      <c r="BB640" s="507"/>
      <c r="BC640" s="507"/>
      <c r="BD640" s="507"/>
      <c r="BE640" s="507"/>
      <c r="BF640" s="507"/>
      <c r="BG640" s="507"/>
      <c r="BH640" s="507"/>
      <c r="BI640" s="33" t="s">
        <v>550</v>
      </c>
      <c r="BJ640" s="12"/>
    </row>
    <row r="641" spans="1:62" ht="209.25" hidden="1" customHeight="1">
      <c r="A641" s="16">
        <f>OBRA!K639</f>
        <v>2022</v>
      </c>
      <c r="B641" s="781" t="s">
        <v>3947</v>
      </c>
      <c r="C641" s="781">
        <f>OBRA!L639</f>
        <v>224004</v>
      </c>
      <c r="D641" s="781" t="s">
        <v>550</v>
      </c>
      <c r="E641" s="2" t="str">
        <f>OBRA!N639</f>
        <v>RAMO 33</v>
      </c>
      <c r="F641" s="662" t="s">
        <v>1427</v>
      </c>
      <c r="G641" s="880"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624" t="s">
        <v>4606</v>
      </c>
      <c r="L641" s="1348" t="s">
        <v>4754</v>
      </c>
      <c r="M641" s="674" t="s">
        <v>4398</v>
      </c>
      <c r="N641" s="674" t="str">
        <f>OBRA!R639</f>
        <v>SAN CRISTÓBAL ZAPOTITLÁN</v>
      </c>
      <c r="O641" s="505" t="s">
        <v>4476</v>
      </c>
      <c r="P641" s="4">
        <f>OBRA!S639</f>
        <v>2031883.8</v>
      </c>
      <c r="Q641" s="1045">
        <f t="shared" si="43"/>
        <v>1751623.9655172415</v>
      </c>
      <c r="R641" s="1762"/>
      <c r="S641" s="6">
        <f>OBRA!T639</f>
        <v>44690</v>
      </c>
      <c r="T641" s="1156">
        <f>OBRA!W639</f>
        <v>44687</v>
      </c>
      <c r="U641" s="5">
        <f>OBRA!U639</f>
        <v>44692</v>
      </c>
      <c r="V641" s="11">
        <f>OBRA!V639</f>
        <v>44765</v>
      </c>
      <c r="W641" s="1582">
        <v>507970.95</v>
      </c>
      <c r="X641" s="1041">
        <f>OBRA!AT639+OBRA!AU639</f>
        <v>2069216.72</v>
      </c>
      <c r="Y641" s="1050" t="s">
        <v>4407</v>
      </c>
      <c r="Z641" s="146" t="str">
        <f>OBRA!X639</f>
        <v>EDUARDO VENTURA PADILLA</v>
      </c>
      <c r="AA641" s="146" t="s">
        <v>5668</v>
      </c>
      <c r="AB641" s="148" t="str">
        <f t="shared" si="44"/>
        <v>EDUARDO VENTURA PADILLA</v>
      </c>
      <c r="AC641" s="1111" t="s">
        <v>4408</v>
      </c>
      <c r="AD641" s="400" t="s">
        <v>4409</v>
      </c>
      <c r="AE641" s="663" t="str">
        <f>OBRA!Y639</f>
        <v>ING. J. GUADALUPE IBARRA RAMIREZ</v>
      </c>
      <c r="AF641" s="19">
        <v>1</v>
      </c>
      <c r="AG641" s="2" t="s">
        <v>1462</v>
      </c>
      <c r="AH641" s="607">
        <f t="shared" si="46"/>
        <v>2069216.72</v>
      </c>
      <c r="AI641" s="2">
        <v>2500</v>
      </c>
      <c r="AJ641" s="514">
        <v>2500</v>
      </c>
      <c r="AK641" s="1763">
        <v>1</v>
      </c>
      <c r="AL641" s="1551">
        <v>20.223519</v>
      </c>
      <c r="AM641" s="1622">
        <v>103.371988</v>
      </c>
      <c r="AN641" s="1628" t="s">
        <v>4605</v>
      </c>
      <c r="AO641" s="1628" t="s">
        <v>4605</v>
      </c>
      <c r="AP641" s="416" t="s">
        <v>4605</v>
      </c>
      <c r="AQ641" s="416" t="s">
        <v>4605</v>
      </c>
      <c r="AR641" s="548"/>
      <c r="AS641" s="697" t="s">
        <v>4605</v>
      </c>
      <c r="AT641" s="1852"/>
      <c r="AU641" s="1852"/>
      <c r="AV641" s="1852"/>
      <c r="AW641" s="1852"/>
      <c r="AX641" s="1852"/>
      <c r="AY641" s="1852"/>
      <c r="AZ641" s="1852"/>
      <c r="BA641" s="1852"/>
      <c r="BB641" s="507"/>
      <c r="BC641" s="507"/>
      <c r="BD641" s="507"/>
      <c r="BE641" s="507"/>
      <c r="BF641" s="507"/>
      <c r="BG641" s="507"/>
      <c r="BH641" s="507"/>
      <c r="BI641" s="33" t="s">
        <v>550</v>
      </c>
      <c r="BJ641" s="12"/>
    </row>
    <row r="642" spans="1:62" ht="94.5" hidden="1" customHeight="1">
      <c r="A642" s="16">
        <f>OBRA!K640</f>
        <v>2022</v>
      </c>
      <c r="B642" s="781" t="s">
        <v>3947</v>
      </c>
      <c r="C642" s="781">
        <f>OBRA!L640</f>
        <v>224005</v>
      </c>
      <c r="D642" s="781" t="s">
        <v>550</v>
      </c>
      <c r="E642" s="2" t="str">
        <f>OBRA!N640</f>
        <v>CUENTA CORRIENTE</v>
      </c>
      <c r="F642" s="662" t="s">
        <v>1427</v>
      </c>
      <c r="G642" s="880"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624" t="s">
        <v>4607</v>
      </c>
      <c r="L642" s="1348" t="s">
        <v>4750</v>
      </c>
      <c r="M642" s="674" t="s">
        <v>6314</v>
      </c>
      <c r="N642" s="674" t="str">
        <f>OBRA!R640</f>
        <v>NEXTIPAC</v>
      </c>
      <c r="O642" s="505" t="s">
        <v>4476</v>
      </c>
      <c r="P642" s="4">
        <f>OBRA!S640</f>
        <v>793754.52</v>
      </c>
      <c r="Q642" s="1045">
        <f t="shared" si="43"/>
        <v>684271.13793103455</v>
      </c>
      <c r="R642" s="1762"/>
      <c r="S642" s="6">
        <f>OBRA!T640</f>
        <v>44704</v>
      </c>
      <c r="T642" s="1156">
        <f>OBRA!W640</f>
        <v>44704</v>
      </c>
      <c r="U642" s="5">
        <f>OBRA!U640</f>
        <v>44705</v>
      </c>
      <c r="V642" s="11">
        <f>OBRA!V640</f>
        <v>44712</v>
      </c>
      <c r="W642" s="1582">
        <v>0</v>
      </c>
      <c r="X642" s="1041">
        <f>OBRA!AT640+OBRA!AU640</f>
        <v>793754.52</v>
      </c>
      <c r="Y642" s="1050" t="s">
        <v>4410</v>
      </c>
      <c r="Z642" s="146" t="str">
        <f>OBRA!X640</f>
        <v>TERRACERÍAS Y PAVIMENTOS DE LA RIBERA, S.A. DE C.V.</v>
      </c>
      <c r="AA642" s="146" t="s">
        <v>5669</v>
      </c>
      <c r="AB642" s="148" t="s">
        <v>4447</v>
      </c>
      <c r="AC642" s="1111" t="s">
        <v>3473</v>
      </c>
      <c r="AD642" s="400" t="s">
        <v>4206</v>
      </c>
      <c r="AE642" s="663" t="str">
        <f>OBRA!Y640</f>
        <v>C. DANIEL RODRIGUEZ VALENZUELA</v>
      </c>
      <c r="AF642" s="19">
        <v>129</v>
      </c>
      <c r="AG642" s="2" t="s">
        <v>1450</v>
      </c>
      <c r="AH642" s="607">
        <f t="shared" si="46"/>
        <v>6153.1358139534887</v>
      </c>
      <c r="AI642" s="2">
        <v>500</v>
      </c>
      <c r="AJ642" s="514">
        <v>2000</v>
      </c>
      <c r="AK642" s="1763">
        <v>1</v>
      </c>
      <c r="AL642" s="1551">
        <v>20.287559999999999</v>
      </c>
      <c r="AM642" s="1622">
        <v>103.414806</v>
      </c>
      <c r="AN642" s="1628" t="s">
        <v>4608</v>
      </c>
      <c r="AO642" s="1628" t="s">
        <v>4608</v>
      </c>
      <c r="AP642" s="1628" t="s">
        <v>4608</v>
      </c>
      <c r="AQ642" s="523" t="s">
        <v>4608</v>
      </c>
      <c r="AR642" s="523"/>
      <c r="AS642" s="417" t="s">
        <v>4608</v>
      </c>
      <c r="AT642" s="1852"/>
      <c r="AU642" s="1852"/>
      <c r="AV642" s="1852"/>
      <c r="AW642" s="1852"/>
      <c r="AX642" s="1852"/>
      <c r="AY642" s="1852"/>
      <c r="AZ642" s="1852"/>
      <c r="BA642" s="1852"/>
      <c r="BB642" s="507"/>
      <c r="BC642" s="507"/>
      <c r="BD642" s="507"/>
      <c r="BE642" s="507"/>
      <c r="BF642" s="507"/>
      <c r="BG642" s="507"/>
      <c r="BH642" s="507"/>
      <c r="BI642" s="33" t="s">
        <v>550</v>
      </c>
      <c r="BJ642" s="12"/>
    </row>
    <row r="643" spans="1:62" ht="87.75" hidden="1" customHeight="1">
      <c r="A643" s="16">
        <f>OBRA!K641</f>
        <v>2022</v>
      </c>
      <c r="B643" s="781" t="s">
        <v>3947</v>
      </c>
      <c r="C643" s="781">
        <f>OBRA!L641</f>
        <v>224006</v>
      </c>
      <c r="D643" s="781" t="s">
        <v>550</v>
      </c>
      <c r="E643" s="2" t="str">
        <f>OBRA!N641</f>
        <v>RAMO 33</v>
      </c>
      <c r="F643" s="662" t="s">
        <v>1427</v>
      </c>
      <c r="G643" s="880"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624" t="s">
        <v>4609</v>
      </c>
      <c r="L643" s="1348" t="s">
        <v>6256</v>
      </c>
      <c r="M643" s="674" t="s">
        <v>4399</v>
      </c>
      <c r="N643" s="674" t="str">
        <f>OBRA!R641</f>
        <v>NEXTIPAC</v>
      </c>
      <c r="O643" s="505" t="s">
        <v>4476</v>
      </c>
      <c r="P643" s="4">
        <f>OBRA!S641</f>
        <v>579637.71</v>
      </c>
      <c r="Q643" s="1045">
        <f t="shared" si="43"/>
        <v>499687.68103448278</v>
      </c>
      <c r="R643" s="1762"/>
      <c r="S643" s="6">
        <f>OBRA!T641</f>
        <v>44704</v>
      </c>
      <c r="T643" s="1156">
        <f>OBRA!W641</f>
        <v>44704</v>
      </c>
      <c r="U643" s="5">
        <f>OBRA!U641</f>
        <v>44712</v>
      </c>
      <c r="V643" s="11">
        <f>OBRA!V641</f>
        <v>44722</v>
      </c>
      <c r="W643" s="1582">
        <v>0</v>
      </c>
      <c r="X643" s="1041">
        <f>OBRA!AT641+OBRA!AU641</f>
        <v>579645.42000000004</v>
      </c>
      <c r="Y643" s="1050" t="s">
        <v>4411</v>
      </c>
      <c r="Z643" s="146" t="str">
        <f>OBRA!X641</f>
        <v>TERRACERÍAS Y PAVIMENTOS DE LA RIBERA, S.A. DE C.V.</v>
      </c>
      <c r="AA643" s="146" t="s">
        <v>5669</v>
      </c>
      <c r="AB643" s="148" t="s">
        <v>4447</v>
      </c>
      <c r="AC643" s="1111" t="s">
        <v>3473</v>
      </c>
      <c r="AD643" s="400" t="s">
        <v>4206</v>
      </c>
      <c r="AE643" s="663" t="str">
        <f>OBRA!Y641</f>
        <v>C. DANIEL RODRIGUEZ VALENZUELA</v>
      </c>
      <c r="AF643" s="19">
        <v>301.5</v>
      </c>
      <c r="AG643" s="2" t="s">
        <v>1548</v>
      </c>
      <c r="AH643" s="607">
        <f t="shared" si="46"/>
        <v>1922.5387064676618</v>
      </c>
      <c r="AI643" s="2">
        <v>21500</v>
      </c>
      <c r="AJ643" s="514">
        <v>21500</v>
      </c>
      <c r="AK643" s="1763">
        <v>1</v>
      </c>
      <c r="AL643" s="1551">
        <v>20.287559999999999</v>
      </c>
      <c r="AM643" s="1552">
        <v>103.414806</v>
      </c>
      <c r="AN643" s="1628" t="s">
        <v>4610</v>
      </c>
      <c r="AO643" s="1628" t="s">
        <v>4610</v>
      </c>
      <c r="AP643" s="1628" t="s">
        <v>4610</v>
      </c>
      <c r="AQ643" s="523" t="s">
        <v>4610</v>
      </c>
      <c r="AR643" s="523"/>
      <c r="AS643" s="417" t="s">
        <v>4610</v>
      </c>
      <c r="AT643" s="1852"/>
      <c r="AU643" s="1852"/>
      <c r="AV643" s="1852"/>
      <c r="AW643" s="1852"/>
      <c r="AX643" s="1852"/>
      <c r="AY643" s="1852"/>
      <c r="AZ643" s="1852"/>
      <c r="BA643" s="1852"/>
      <c r="BB643" s="507"/>
      <c r="BC643" s="507"/>
      <c r="BD643" s="507"/>
      <c r="BE643" s="507"/>
      <c r="BF643" s="507"/>
      <c r="BG643" s="507"/>
      <c r="BH643" s="507"/>
      <c r="BI643" s="33" t="s">
        <v>550</v>
      </c>
      <c r="BJ643" s="12"/>
    </row>
    <row r="644" spans="1:62" ht="189.75" hidden="1" customHeight="1">
      <c r="A644" s="16">
        <f>OBRA!K642</f>
        <v>2022</v>
      </c>
      <c r="B644" s="781" t="s">
        <v>3947</v>
      </c>
      <c r="C644" s="781">
        <f>OBRA!L642</f>
        <v>224007</v>
      </c>
      <c r="D644" s="781" t="s">
        <v>550</v>
      </c>
      <c r="E644" s="2" t="str">
        <f>OBRA!N642</f>
        <v>RAMO 33</v>
      </c>
      <c r="F644" s="662" t="s">
        <v>1427</v>
      </c>
      <c r="G644" s="880"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624" t="s">
        <v>4611</v>
      </c>
      <c r="L644" s="1348" t="s">
        <v>6249</v>
      </c>
      <c r="M644" s="3" t="s">
        <v>4477</v>
      </c>
      <c r="N644" s="3" t="str">
        <f>OBRA!R642</f>
        <v>SAN JUAN COSALÁ</v>
      </c>
      <c r="O644" s="505" t="s">
        <v>4476</v>
      </c>
      <c r="P644" s="4">
        <f>OBRA!S642</f>
        <v>627108.43000000005</v>
      </c>
      <c r="Q644" s="1045">
        <f t="shared" si="43"/>
        <v>540610.71551724151</v>
      </c>
      <c r="R644" s="1762"/>
      <c r="S644" s="6">
        <f>OBRA!T642</f>
        <v>44704</v>
      </c>
      <c r="T644" s="1156">
        <f>OBRA!W642</f>
        <v>44704</v>
      </c>
      <c r="U644" s="5">
        <f>OBRA!U642</f>
        <v>44705</v>
      </c>
      <c r="V644" s="11">
        <f>OBRA!V642</f>
        <v>44742</v>
      </c>
      <c r="W644" s="1582">
        <v>0</v>
      </c>
      <c r="X644" s="1041">
        <f>OBRA!AT642+OBRA!AU642</f>
        <v>694906.61</v>
      </c>
      <c r="Y644" s="1110" t="s">
        <v>4478</v>
      </c>
      <c r="Z644" s="146" t="str">
        <f>OBRA!X642</f>
        <v>ESTRUCTURAS PLANEADAS DE OCCIDENTE, S.A. DE C.V.</v>
      </c>
      <c r="AA644" s="146" t="s">
        <v>5669</v>
      </c>
      <c r="AB644" s="148" t="s">
        <v>4480</v>
      </c>
      <c r="AC644" s="146" t="s">
        <v>4481</v>
      </c>
      <c r="AD644" s="148" t="s">
        <v>4437</v>
      </c>
      <c r="AE644" s="184" t="str">
        <f>OBRA!Y642</f>
        <v>C. DANIEL RODRIGUEZ VALENZUELA</v>
      </c>
      <c r="AF644" s="19">
        <v>300.95</v>
      </c>
      <c r="AG644" s="2" t="s">
        <v>1548</v>
      </c>
      <c r="AH644" s="607">
        <f t="shared" si="46"/>
        <v>2309.0433959129423</v>
      </c>
      <c r="AI644" s="2">
        <v>80</v>
      </c>
      <c r="AJ644" s="514">
        <v>80</v>
      </c>
      <c r="AK644" s="1763">
        <v>1</v>
      </c>
      <c r="AL644" s="1551">
        <v>20.289904</v>
      </c>
      <c r="AM644" s="1552">
        <v>103.346773</v>
      </c>
      <c r="AN644" s="563" t="s">
        <v>4567</v>
      </c>
      <c r="AO644" s="563" t="s">
        <v>4567</v>
      </c>
      <c r="AP644" s="563" t="s">
        <v>4567</v>
      </c>
      <c r="AQ644" s="502" t="s">
        <v>4567</v>
      </c>
      <c r="AR644" s="502"/>
      <c r="AS644" s="697" t="s">
        <v>4567</v>
      </c>
      <c r="AT644" s="1878">
        <v>154252.57999999999</v>
      </c>
      <c r="AU644" s="1878">
        <v>0</v>
      </c>
      <c r="AV644" s="1878">
        <v>168807.83</v>
      </c>
      <c r="AW644" s="1878">
        <v>0</v>
      </c>
      <c r="AX644" s="1878">
        <v>344836.95</v>
      </c>
      <c r="AY644" s="1878">
        <v>0</v>
      </c>
      <c r="AZ644" s="1878">
        <v>0</v>
      </c>
      <c r="BA644" s="1878">
        <v>0</v>
      </c>
      <c r="BB644" s="1536">
        <v>52</v>
      </c>
      <c r="BC644" s="1536">
        <v>0</v>
      </c>
      <c r="BD644" s="1536">
        <v>56</v>
      </c>
      <c r="BE644" s="1536">
        <v>0</v>
      </c>
      <c r="BF644" s="1536">
        <v>322.54000000000002</v>
      </c>
      <c r="BG644" s="1536">
        <v>0</v>
      </c>
      <c r="BH644" s="1536">
        <v>0</v>
      </c>
      <c r="BI644" s="33" t="s">
        <v>550</v>
      </c>
      <c r="BJ644" s="12"/>
    </row>
    <row r="645" spans="1:62" ht="125.25" hidden="1" customHeight="1">
      <c r="A645" s="16">
        <f>OBRA!K643</f>
        <v>2022</v>
      </c>
      <c r="B645" s="781" t="s">
        <v>3947</v>
      </c>
      <c r="C645" s="781">
        <f>OBRA!L643</f>
        <v>224008</v>
      </c>
      <c r="D645" s="781" t="s">
        <v>550</v>
      </c>
      <c r="E645" s="2" t="str">
        <f>OBRA!N643</f>
        <v>RAMO 33</v>
      </c>
      <c r="F645" s="662" t="s">
        <v>1427</v>
      </c>
      <c r="G645" s="880"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624" t="s">
        <v>4612</v>
      </c>
      <c r="L645" s="1348" t="s">
        <v>6326</v>
      </c>
      <c r="M645" s="3" t="s">
        <v>6315</v>
      </c>
      <c r="N645" s="3" t="str">
        <f>OBRA!R643</f>
        <v>SAN JUAN COSALÁ</v>
      </c>
      <c r="O645" s="505" t="s">
        <v>4476</v>
      </c>
      <c r="P645" s="4">
        <f>OBRA!S643</f>
        <v>168470.35</v>
      </c>
      <c r="Q645" s="1045">
        <f t="shared" si="43"/>
        <v>145233.06034482759</v>
      </c>
      <c r="R645" s="1762"/>
      <c r="S645" s="6">
        <f>OBRA!T643</f>
        <v>44707</v>
      </c>
      <c r="T645" s="1156">
        <f>OBRA!W643</f>
        <v>44706</v>
      </c>
      <c r="U645" s="5">
        <f>OBRA!U643</f>
        <v>44711</v>
      </c>
      <c r="V645" s="11">
        <f>OBRA!V643</f>
        <v>44722</v>
      </c>
      <c r="W645" s="1582">
        <v>0</v>
      </c>
      <c r="X645" s="1041">
        <f>OBRA!AT643+OBRA!AU643</f>
        <v>183498.77</v>
      </c>
      <c r="Y645" s="1110" t="s">
        <v>4479</v>
      </c>
      <c r="Z645" s="146" t="str">
        <f>OBRA!X643</f>
        <v xml:space="preserve">SERVICIOS Y CONSTRUCCIONES NATENIO, S.A. DE C.V. </v>
      </c>
      <c r="AA645" s="146" t="s">
        <v>5669</v>
      </c>
      <c r="AB645" s="148" t="s">
        <v>2808</v>
      </c>
      <c r="AC645" s="146" t="s">
        <v>2809</v>
      </c>
      <c r="AD645" s="148" t="s">
        <v>2972</v>
      </c>
      <c r="AE645" s="184" t="str">
        <f>OBRA!Y643</f>
        <v>C. DANIEL RODRIGUEZ VALENZUELA</v>
      </c>
      <c r="AF645" s="19">
        <v>120</v>
      </c>
      <c r="AG645" s="2" t="s">
        <v>1450</v>
      </c>
      <c r="AH645" s="607">
        <f t="shared" si="46"/>
        <v>1529.1564166666665</v>
      </c>
      <c r="AI645" s="2">
        <v>20</v>
      </c>
      <c r="AJ645" s="514">
        <v>100</v>
      </c>
      <c r="AK645" s="1763">
        <v>1</v>
      </c>
      <c r="AL645" s="1551">
        <v>20.286469</v>
      </c>
      <c r="AM645" s="1552">
        <v>103.33503899999999</v>
      </c>
      <c r="AN645" s="1628" t="s">
        <v>4568</v>
      </c>
      <c r="AO645" s="1628" t="s">
        <v>4568</v>
      </c>
      <c r="AP645" s="1628" t="s">
        <v>4568</v>
      </c>
      <c r="AQ645" s="523" t="s">
        <v>4568</v>
      </c>
      <c r="AR645" s="523"/>
      <c r="AS645" s="417" t="s">
        <v>4568</v>
      </c>
      <c r="AT645" s="1853">
        <v>0</v>
      </c>
      <c r="AU645" s="1853">
        <v>0</v>
      </c>
      <c r="AV645" s="1853">
        <v>110097.64</v>
      </c>
      <c r="AW645" s="1853">
        <v>0</v>
      </c>
      <c r="AX645" s="1853">
        <v>0</v>
      </c>
      <c r="AY645" s="1853">
        <v>0</v>
      </c>
      <c r="AZ645" s="1853">
        <v>71247.17</v>
      </c>
      <c r="BA645" s="1853">
        <v>0</v>
      </c>
      <c r="BB645" s="514">
        <v>0</v>
      </c>
      <c r="BC645" s="514">
        <v>0</v>
      </c>
      <c r="BD645" s="514">
        <v>23.04</v>
      </c>
      <c r="BE645" s="514">
        <v>0</v>
      </c>
      <c r="BF645" s="514">
        <v>0</v>
      </c>
      <c r="BG645" s="514">
        <v>19.8</v>
      </c>
      <c r="BH645" s="514">
        <v>0</v>
      </c>
      <c r="BI645" s="33" t="s">
        <v>550</v>
      </c>
      <c r="BJ645" s="12"/>
    </row>
    <row r="646" spans="1:62" ht="102" hidden="1" customHeight="1">
      <c r="A646" s="16">
        <f>OBRA!K644</f>
        <v>2022</v>
      </c>
      <c r="B646" s="781" t="s">
        <v>3947</v>
      </c>
      <c r="C646" s="781">
        <f>OBRA!L644</f>
        <v>224009</v>
      </c>
      <c r="D646" s="781" t="s">
        <v>550</v>
      </c>
      <c r="E646" s="2" t="str">
        <f>OBRA!N644</f>
        <v>RAMO 33</v>
      </c>
      <c r="F646" s="662" t="s">
        <v>1427</v>
      </c>
      <c r="G646" s="880"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624" t="s">
        <v>4613</v>
      </c>
      <c r="L646" s="1348" t="s">
        <v>6256</v>
      </c>
      <c r="M646" s="3" t="s">
        <v>4493</v>
      </c>
      <c r="N646" s="3" t="str">
        <f>OBRA!R644</f>
        <v>CHANTEPEC</v>
      </c>
      <c r="O646" s="505" t="s">
        <v>4476</v>
      </c>
      <c r="P646" s="4">
        <f>OBRA!S644</f>
        <v>809084.8</v>
      </c>
      <c r="Q646" s="1045">
        <f t="shared" si="43"/>
        <v>697486.89655172417</v>
      </c>
      <c r="R646" s="1762"/>
      <c r="S646" s="6">
        <f>OBRA!T644</f>
        <v>44736</v>
      </c>
      <c r="T646" s="1156">
        <f>OBRA!W644</f>
        <v>44789</v>
      </c>
      <c r="U646" s="5">
        <f>OBRA!U644</f>
        <v>44760</v>
      </c>
      <c r="V646" s="11">
        <f>OBRA!V644</f>
        <v>44804</v>
      </c>
      <c r="W646" s="1582">
        <v>0</v>
      </c>
      <c r="X646" s="1041">
        <f>OBRA!AT644+OBRA!AU644</f>
        <v>817756.14</v>
      </c>
      <c r="Y646" s="1050" t="s">
        <v>4546</v>
      </c>
      <c r="Z646" s="146" t="str">
        <f>OBRA!X644</f>
        <v>SOLEC ENERGY, S.A. DE C.V.</v>
      </c>
      <c r="AA646" s="146" t="s">
        <v>5669</v>
      </c>
      <c r="AB646" s="148" t="s">
        <v>4551</v>
      </c>
      <c r="AC646" s="1111" t="s">
        <v>4552</v>
      </c>
      <c r="AD646" s="400" t="s">
        <v>4553</v>
      </c>
      <c r="AE646" s="663" t="str">
        <f>OBRA!Y644</f>
        <v>C. DANIEL RODRIGUEZ VALENZUELA</v>
      </c>
      <c r="AF646" s="19">
        <v>28</v>
      </c>
      <c r="AG646" s="2" t="s">
        <v>1757</v>
      </c>
      <c r="AH646" s="607">
        <f t="shared" si="46"/>
        <v>29205.576428571429</v>
      </c>
      <c r="AI646" s="2">
        <v>300</v>
      </c>
      <c r="AJ646" s="514">
        <v>3600</v>
      </c>
      <c r="AK646" s="1763">
        <v>1</v>
      </c>
      <c r="AL646" s="1551">
        <v>20.288601</v>
      </c>
      <c r="AM646" s="1552">
        <v>103.396854</v>
      </c>
      <c r="AN646" s="1628" t="s">
        <v>4569</v>
      </c>
      <c r="AO646" s="1628" t="s">
        <v>4569</v>
      </c>
      <c r="AP646" s="1628" t="s">
        <v>4569</v>
      </c>
      <c r="AQ646" s="523" t="s">
        <v>4569</v>
      </c>
      <c r="AR646" s="523"/>
      <c r="AS646" s="1259"/>
      <c r="AT646" s="1852"/>
      <c r="AU646" s="1852"/>
      <c r="AV646" s="1852"/>
      <c r="AW646" s="1852"/>
      <c r="AX646" s="1852"/>
      <c r="AY646" s="1852"/>
      <c r="AZ646" s="1852"/>
      <c r="BA646" s="1852"/>
      <c r="BB646" s="507"/>
      <c r="BC646" s="507"/>
      <c r="BD646" s="507"/>
      <c r="BE646" s="507"/>
      <c r="BF646" s="507"/>
      <c r="BG646" s="507"/>
      <c r="BH646" s="507"/>
      <c r="BI646" s="33" t="s">
        <v>5019</v>
      </c>
      <c r="BJ646" s="12"/>
    </row>
    <row r="647" spans="1:62" ht="186.75" hidden="1" customHeight="1">
      <c r="A647" s="16">
        <f>OBRA!K645</f>
        <v>2022</v>
      </c>
      <c r="B647" s="781" t="s">
        <v>3947</v>
      </c>
      <c r="C647" s="781">
        <f>OBRA!L645</f>
        <v>224010</v>
      </c>
      <c r="D647" s="781" t="s">
        <v>550</v>
      </c>
      <c r="E647" s="2" t="str">
        <f>OBRA!N645</f>
        <v>RAMO 33</v>
      </c>
      <c r="F647" s="662" t="s">
        <v>1427</v>
      </c>
      <c r="G647" s="880"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624" t="s">
        <v>4614</v>
      </c>
      <c r="L647" s="1348" t="s">
        <v>4762</v>
      </c>
      <c r="M647" s="3" t="s">
        <v>4494</v>
      </c>
      <c r="N647" s="3" t="str">
        <f>OBRA!R645</f>
        <v>CABECERA MUNICIPAL</v>
      </c>
      <c r="O647" s="505" t="s">
        <v>4476</v>
      </c>
      <c r="P647" s="4">
        <f>OBRA!S645</f>
        <v>1697255.04</v>
      </c>
      <c r="Q647" s="1045">
        <f t="shared" si="43"/>
        <v>1463150.8965517243</v>
      </c>
      <c r="R647" s="1762"/>
      <c r="S647" s="6">
        <f>OBRA!T645</f>
        <v>44763</v>
      </c>
      <c r="T647" s="1156">
        <f>OBRA!W645</f>
        <v>44762</v>
      </c>
      <c r="U647" s="5">
        <f>OBRA!U645</f>
        <v>44767</v>
      </c>
      <c r="V647" s="11">
        <f>OBRA!V645</f>
        <v>44814</v>
      </c>
      <c r="W647" s="1582">
        <v>509176.51</v>
      </c>
      <c r="X647" s="1041">
        <f>OBRA!AT645+OBRA!AU645</f>
        <v>1697255.04</v>
      </c>
      <c r="Y647" s="1050" t="s">
        <v>4547</v>
      </c>
      <c r="Z647" s="146" t="str">
        <f>OBRA!X645</f>
        <v>ING. SERGIO CABRERA</v>
      </c>
      <c r="AA647" s="146" t="s">
        <v>5668</v>
      </c>
      <c r="AB647" s="148" t="str">
        <f t="shared" si="44"/>
        <v>ING. SERGIO CABRERA</v>
      </c>
      <c r="AC647" s="1111" t="s">
        <v>1922</v>
      </c>
      <c r="AD647" s="400" t="s">
        <v>4554</v>
      </c>
      <c r="AE647" s="663" t="str">
        <f>OBRA!Y645</f>
        <v>C. DANIEL RODRIGUEZ VALENZUELA</v>
      </c>
      <c r="AF647" s="19">
        <v>286.43</v>
      </c>
      <c r="AG647" s="2" t="s">
        <v>1548</v>
      </c>
      <c r="AH647" s="607">
        <f t="shared" si="46"/>
        <v>5925.5491394057881</v>
      </c>
      <c r="AI647" s="2">
        <v>80</v>
      </c>
      <c r="AJ647" s="514">
        <v>400</v>
      </c>
      <c r="AK647" s="1763">
        <v>1</v>
      </c>
      <c r="AL647" s="1551">
        <v>20.285530999999999</v>
      </c>
      <c r="AM647" s="1552">
        <v>103.42238</v>
      </c>
      <c r="AN647" s="1628" t="s">
        <v>4615</v>
      </c>
      <c r="AO647" s="1628" t="s">
        <v>4615</v>
      </c>
      <c r="AP647" s="1628" t="s">
        <v>4615</v>
      </c>
      <c r="AQ647" s="523" t="s">
        <v>4615</v>
      </c>
      <c r="AR647" s="523"/>
      <c r="AS647" s="417" t="s">
        <v>4615</v>
      </c>
      <c r="AT647" s="1852"/>
      <c r="AU647" s="1852"/>
      <c r="AV647" s="1852"/>
      <c r="AW647" s="1852"/>
      <c r="AX647" s="1852"/>
      <c r="AY647" s="1852"/>
      <c r="AZ647" s="1852"/>
      <c r="BA647" s="1852"/>
      <c r="BB647" s="507"/>
      <c r="BC647" s="507"/>
      <c r="BD647" s="507"/>
      <c r="BE647" s="507"/>
      <c r="BF647" s="507"/>
      <c r="BG647" s="507"/>
      <c r="BH647" s="507"/>
      <c r="BI647" s="33" t="s">
        <v>550</v>
      </c>
      <c r="BJ647" s="12"/>
    </row>
    <row r="648" spans="1:62" ht="98.25" hidden="1" customHeight="1">
      <c r="A648" s="16">
        <f>OBRA!K646</f>
        <v>2022</v>
      </c>
      <c r="B648" s="781" t="s">
        <v>3947</v>
      </c>
      <c r="C648" s="781">
        <f>OBRA!L646</f>
        <v>224011</v>
      </c>
      <c r="D648" s="781" t="s">
        <v>550</v>
      </c>
      <c r="E648" s="2" t="str">
        <f>OBRA!N646</f>
        <v>CUENTA CORRIENTE</v>
      </c>
      <c r="F648" s="662" t="s">
        <v>1427</v>
      </c>
      <c r="G648" s="880"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623"/>
      <c r="L648" s="1348" t="s">
        <v>6242</v>
      </c>
      <c r="M648" s="3" t="s">
        <v>2002</v>
      </c>
      <c r="N648" s="3" t="str">
        <f>OBRA!R646</f>
        <v>CABECERA MUNICIPAL</v>
      </c>
      <c r="O648" s="505" t="s">
        <v>4566</v>
      </c>
      <c r="P648" s="4">
        <f>OBRA!S646</f>
        <v>1343062.53</v>
      </c>
      <c r="Q648" s="1045">
        <f t="shared" si="43"/>
        <v>1157812.5258620691</v>
      </c>
      <c r="R648" s="1762"/>
      <c r="S648" s="6">
        <f>OBRA!T646</f>
        <v>44767</v>
      </c>
      <c r="T648" s="1156">
        <f>OBRA!W646</f>
        <v>44764</v>
      </c>
      <c r="U648" s="5">
        <f>OBRA!U646</f>
        <v>44770</v>
      </c>
      <c r="V648" s="11">
        <f>OBRA!V646</f>
        <v>44814</v>
      </c>
      <c r="W648" s="1582">
        <f>P648*0.3-0.01</f>
        <v>402918.74900000001</v>
      </c>
      <c r="X648" s="1041">
        <f>OBRA!AT646+OBRA!AU646</f>
        <v>1343062.54</v>
      </c>
      <c r="Y648" s="1050" t="s">
        <v>4548</v>
      </c>
      <c r="Z648" s="146" t="str">
        <f>OBRA!X646</f>
        <v>ING. SERGIO CABRERA</v>
      </c>
      <c r="AA648" s="146" t="s">
        <v>5668</v>
      </c>
      <c r="AB648" s="148" t="str">
        <f t="shared" si="44"/>
        <v>ING. SERGIO CABRERA</v>
      </c>
      <c r="AC648" s="1111" t="s">
        <v>1922</v>
      </c>
      <c r="AD648" s="400" t="s">
        <v>4554</v>
      </c>
      <c r="AE648" s="663" t="str">
        <f>OBRA!Y646</f>
        <v>ING. J. GUADALUPE IBARRA RAMIREZ</v>
      </c>
      <c r="AF648" s="161"/>
      <c r="AG648" s="389" t="s">
        <v>1548</v>
      </c>
      <c r="AH648" s="625" t="e">
        <f t="shared" si="46"/>
        <v>#DIV/0!</v>
      </c>
      <c r="AI648" s="2">
        <v>1000</v>
      </c>
      <c r="AJ648" s="514">
        <v>49000</v>
      </c>
      <c r="AK648" s="1763">
        <v>1</v>
      </c>
      <c r="AL648" s="1621">
        <v>20.279315</v>
      </c>
      <c r="AM648" s="1622">
        <v>103.44525299999999</v>
      </c>
      <c r="AN648" s="1628" t="s">
        <v>4616</v>
      </c>
      <c r="AO648" s="1628" t="s">
        <v>4616</v>
      </c>
      <c r="AP648" s="1628" t="s">
        <v>4616</v>
      </c>
      <c r="AQ648" s="523" t="s">
        <v>4616</v>
      </c>
      <c r="AR648" s="523"/>
      <c r="AS648" s="1259"/>
      <c r="AT648" s="1852"/>
      <c r="AU648" s="1852"/>
      <c r="AV648" s="1852"/>
      <c r="AW648" s="1852"/>
      <c r="AX648" s="1852"/>
      <c r="AY648" s="1852"/>
      <c r="AZ648" s="1852"/>
      <c r="BA648" s="1852"/>
      <c r="BB648" s="507"/>
      <c r="BC648" s="507"/>
      <c r="BD648" s="507"/>
      <c r="BE648" s="507"/>
      <c r="BF648" s="507"/>
      <c r="BG648" s="507"/>
      <c r="BH648" s="507"/>
      <c r="BI648" s="33"/>
      <c r="BJ648" s="12"/>
    </row>
    <row r="649" spans="1:62" ht="75" hidden="1" customHeight="1">
      <c r="A649" s="16">
        <f>OBRA!K647</f>
        <v>2022</v>
      </c>
      <c r="B649" s="781" t="s">
        <v>3947</v>
      </c>
      <c r="C649" s="781">
        <f>OBRA!L647</f>
        <v>224012</v>
      </c>
      <c r="D649" s="781" t="s">
        <v>550</v>
      </c>
      <c r="E649" s="2" t="str">
        <f>OBRA!N647</f>
        <v>CUENTA CORRIENTE</v>
      </c>
      <c r="F649" s="662" t="s">
        <v>1427</v>
      </c>
      <c r="G649" s="880" t="s">
        <v>2209</v>
      </c>
      <c r="H649" s="12" t="str">
        <f>OBRA!O647</f>
        <v>GMJ 012 C-OP/2022</v>
      </c>
      <c r="I649" s="2" t="str">
        <f>OBRA!P647</f>
        <v>ADJUDICACIÓN DIRECTA</v>
      </c>
      <c r="J649" s="3" t="str">
        <f>OBRA!Q647</f>
        <v>"REPARACIÓN DE BANQUETA PERIMETRAL EN LA PLAZA PRINCIPAL" DE LA CABECERA MUNICPAL DE JOCOTEPEC, JALISCO.</v>
      </c>
      <c r="K649" s="1348" t="s">
        <v>5900</v>
      </c>
      <c r="L649" s="1348" t="s">
        <v>4751</v>
      </c>
      <c r="M649" s="3" t="s">
        <v>4495</v>
      </c>
      <c r="N649" s="3" t="str">
        <f>OBRA!R647</f>
        <v>CABECERA MUNICIPAL</v>
      </c>
      <c r="O649" s="505" t="s">
        <v>4566</v>
      </c>
      <c r="P649" s="4">
        <f>OBRA!S647</f>
        <v>85733.34</v>
      </c>
      <c r="Q649" s="1045">
        <f t="shared" si="43"/>
        <v>73908.051724137928</v>
      </c>
      <c r="R649" s="1762"/>
      <c r="S649" s="6">
        <f>OBRA!T647</f>
        <v>44816</v>
      </c>
      <c r="T649" s="1156">
        <f>OBRA!W647</f>
        <v>44813</v>
      </c>
      <c r="U649" s="5">
        <f>OBRA!U647</f>
        <v>44817</v>
      </c>
      <c r="V649" s="11">
        <f>OBRA!V647</f>
        <v>44834</v>
      </c>
      <c r="W649" s="1582">
        <v>0</v>
      </c>
      <c r="X649" s="1119">
        <f>OBRA!AT647+OBRA!AU647</f>
        <v>0</v>
      </c>
      <c r="Y649" s="1050" t="s">
        <v>4549</v>
      </c>
      <c r="Z649" s="146" t="str">
        <f>OBRA!X647</f>
        <v>ESTRUCTURAS PLANEADAS DE OCCIDENTE, S.A. DE C.V.</v>
      </c>
      <c r="AA649" s="146" t="s">
        <v>5669</v>
      </c>
      <c r="AB649" s="148" t="s">
        <v>4480</v>
      </c>
      <c r="AC649" s="1111" t="s">
        <v>4481</v>
      </c>
      <c r="AD649" s="400" t="s">
        <v>4500</v>
      </c>
      <c r="AE649" s="184" t="str">
        <f>OBRA!Y647</f>
        <v>ING. J. GUADALUPE IBARRA RAMIREZ</v>
      </c>
      <c r="AF649" s="19">
        <v>100.4</v>
      </c>
      <c r="AG649" s="2" t="s">
        <v>1548</v>
      </c>
      <c r="AH649" s="607">
        <f t="shared" si="46"/>
        <v>0</v>
      </c>
      <c r="AI649" s="2">
        <v>22000</v>
      </c>
      <c r="AJ649" s="514">
        <v>22000</v>
      </c>
      <c r="AK649" s="1763">
        <v>1</v>
      </c>
      <c r="AL649" s="1551">
        <v>20.286082</v>
      </c>
      <c r="AM649" s="1552">
        <v>103.429998</v>
      </c>
      <c r="AN649" s="1628" t="s">
        <v>4617</v>
      </c>
      <c r="AO649" s="1628" t="s">
        <v>4617</v>
      </c>
      <c r="AP649" s="1628" t="s">
        <v>4617</v>
      </c>
      <c r="AQ649" s="502" t="s">
        <v>4617</v>
      </c>
      <c r="AR649" s="502"/>
      <c r="AS649" s="1259"/>
      <c r="AT649" s="1854"/>
      <c r="AU649" s="1854"/>
      <c r="AV649" s="1854"/>
      <c r="AW649" s="1854"/>
      <c r="AX649" s="1854"/>
      <c r="AY649" s="1854"/>
      <c r="AZ649" s="1854"/>
      <c r="BA649" s="1854"/>
      <c r="BB649" s="1239"/>
      <c r="BC649" s="1239"/>
      <c r="BD649" s="1239"/>
      <c r="BE649" s="1239"/>
      <c r="BF649" s="1239"/>
      <c r="BG649" s="1239"/>
      <c r="BH649" s="1239"/>
      <c r="BI649" s="33" t="s">
        <v>5019</v>
      </c>
      <c r="BJ649" s="12"/>
    </row>
    <row r="650" spans="1:62" ht="160.5" hidden="1" customHeight="1">
      <c r="A650" s="16">
        <f>OBRA!K648</f>
        <v>2022</v>
      </c>
      <c r="B650" s="781" t="s">
        <v>3947</v>
      </c>
      <c r="C650" s="781">
        <f>OBRA!L648</f>
        <v>224013</v>
      </c>
      <c r="D650" s="781" t="s">
        <v>550</v>
      </c>
      <c r="E650" s="2" t="str">
        <f>OBRA!N648</f>
        <v>RAMO 33</v>
      </c>
      <c r="F650" s="18" t="s">
        <v>1427</v>
      </c>
      <c r="G650" s="880"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623"/>
      <c r="L650" s="1348" t="s">
        <v>6249</v>
      </c>
      <c r="M650" s="3" t="s">
        <v>4496</v>
      </c>
      <c r="N650" s="3" t="str">
        <f>OBRA!R648</f>
        <v>CABECERA MUNICIPAL</v>
      </c>
      <c r="O650" s="505" t="s">
        <v>4566</v>
      </c>
      <c r="P650" s="4">
        <f>OBRA!S648</f>
        <v>4165845.27</v>
      </c>
      <c r="Q650" s="1045">
        <f t="shared" si="43"/>
        <v>3591245.9224137934</v>
      </c>
      <c r="R650" s="1045"/>
      <c r="S650" s="6">
        <f>OBRA!T648</f>
        <v>44810</v>
      </c>
      <c r="T650" s="1156" t="str">
        <f>OBRA!W648</f>
        <v>NO APLICA</v>
      </c>
      <c r="U650" s="5">
        <f>OBRA!U648</f>
        <v>44812</v>
      </c>
      <c r="V650" s="11">
        <f>OBRA!V648</f>
        <v>44834</v>
      </c>
      <c r="W650" s="1557">
        <f t="shared" ref="W650:W655" si="48">P650*0.3</f>
        <v>1249753.581</v>
      </c>
      <c r="X650" s="1692">
        <f>OBRA!AT648+OBRA!AU648</f>
        <v>4491510.7300000004</v>
      </c>
      <c r="Y650" s="1040" t="s">
        <v>4573</v>
      </c>
      <c r="Z650" s="146" t="str">
        <f>OBRA!X648</f>
        <v>PIERO MASCORRO OLMOS</v>
      </c>
      <c r="AA650" s="146" t="s">
        <v>5668</v>
      </c>
      <c r="AB650" s="148" t="str">
        <f t="shared" si="44"/>
        <v>PIERO MASCORRO OLMOS</v>
      </c>
      <c r="AC650" s="146" t="s">
        <v>4578</v>
      </c>
      <c r="AD650" s="148" t="s">
        <v>4579</v>
      </c>
      <c r="AE650" s="184" t="str">
        <f>OBRA!Y648</f>
        <v>C. DANIEL RODRIGUEZ VALENZUELA</v>
      </c>
      <c r="AF650" s="19">
        <v>2211.6</v>
      </c>
      <c r="AG650" s="2" t="s">
        <v>1548</v>
      </c>
      <c r="AH650" s="655">
        <f t="shared" si="46"/>
        <v>2030.8874706095137</v>
      </c>
      <c r="AI650" s="2">
        <v>350</v>
      </c>
      <c r="AJ650" s="514">
        <v>5000</v>
      </c>
      <c r="AK650" s="514"/>
      <c r="AL650" s="1621">
        <v>20.281386999999999</v>
      </c>
      <c r="AM650" s="1622">
        <v>103.42977</v>
      </c>
      <c r="AN650" s="1619" t="s">
        <v>4587</v>
      </c>
      <c r="AO650" s="1619" t="s">
        <v>4587</v>
      </c>
      <c r="AP650" s="1619" t="s">
        <v>4587</v>
      </c>
      <c r="AQ650" s="523" t="s">
        <v>4587</v>
      </c>
      <c r="AR650" s="523"/>
      <c r="AS650" s="417" t="s">
        <v>4587</v>
      </c>
      <c r="AT650" s="1869">
        <f>540751.98*1.16</f>
        <v>627272.29679999989</v>
      </c>
      <c r="AU650" s="1869"/>
      <c r="AV650" s="1869">
        <f>963162.91*1.16</f>
        <v>1117268.9756</v>
      </c>
      <c r="AW650" s="1869">
        <v>0</v>
      </c>
      <c r="AX650" s="1869">
        <f>(2330099.58*1.16)-AY650</f>
        <v>2251434.3627999998</v>
      </c>
      <c r="AY650" s="1869">
        <v>451481.15</v>
      </c>
      <c r="AZ650" s="1869">
        <f>37347.55*1.16</f>
        <v>43323.158000000003</v>
      </c>
      <c r="BA650" s="1869">
        <v>0</v>
      </c>
      <c r="BB650" s="2">
        <f>248</f>
        <v>248</v>
      </c>
      <c r="BC650" s="2">
        <v>0</v>
      </c>
      <c r="BD650" s="2">
        <v>250</v>
      </c>
      <c r="BE650" s="2">
        <v>0</v>
      </c>
      <c r="BF650" s="2">
        <v>2437.58</v>
      </c>
      <c r="BG650" s="2">
        <v>557.75</v>
      </c>
      <c r="BH650" s="413">
        <v>5</v>
      </c>
      <c r="BI650" s="413" t="s">
        <v>550</v>
      </c>
      <c r="BJ650" s="12"/>
    </row>
    <row r="651" spans="1:62" ht="118.5" hidden="1" customHeight="1">
      <c r="A651" s="16">
        <f>OBRA!K649</f>
        <v>2022</v>
      </c>
      <c r="B651" s="781" t="s">
        <v>3947</v>
      </c>
      <c r="C651" s="781">
        <f>OBRA!L649</f>
        <v>224014</v>
      </c>
      <c r="D651" s="781" t="s">
        <v>550</v>
      </c>
      <c r="E651" s="2" t="str">
        <f>OBRA!N649</f>
        <v>RAMO 33</v>
      </c>
      <c r="F651" s="18" t="s">
        <v>1427</v>
      </c>
      <c r="G651" s="880"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624" t="s">
        <v>4598</v>
      </c>
      <c r="L651" s="1348" t="s">
        <v>4754</v>
      </c>
      <c r="M651" s="3" t="s">
        <v>4570</v>
      </c>
      <c r="N651" s="3" t="str">
        <f>OBRA!R649</f>
        <v>SAN JUAN COSALÁ</v>
      </c>
      <c r="O651" s="505" t="s">
        <v>4566</v>
      </c>
      <c r="P651" s="4">
        <f>OBRA!S649</f>
        <v>4216204.78</v>
      </c>
      <c r="Q651" s="1045">
        <f t="shared" si="43"/>
        <v>3634659.2931034486</v>
      </c>
      <c r="R651" s="1045"/>
      <c r="S651" s="6">
        <f>OBRA!T649</f>
        <v>44839</v>
      </c>
      <c r="T651" s="1156" t="str">
        <f>OBRA!W649</f>
        <v>NO APLICA</v>
      </c>
      <c r="U651" s="5">
        <f>OBRA!U649</f>
        <v>44847</v>
      </c>
      <c r="V651" s="11">
        <f>OBRA!V649</f>
        <v>44895</v>
      </c>
      <c r="W651" s="1557">
        <f t="shared" si="48"/>
        <v>1264861.4340000001</v>
      </c>
      <c r="X651" s="1041">
        <f>OBRA!AT649+OBRA!AU649</f>
        <v>5426864.9299999997</v>
      </c>
      <c r="Y651" s="1040" t="s">
        <v>4574</v>
      </c>
      <c r="Z651" s="146" t="str">
        <f>OBRA!X649</f>
        <v>RAMPER DRILLINGS S.A. DE C.V.</v>
      </c>
      <c r="AA651" s="146" t="s">
        <v>5669</v>
      </c>
      <c r="AB651" s="148" t="s">
        <v>4580</v>
      </c>
      <c r="AC651" s="146" t="s">
        <v>1749</v>
      </c>
      <c r="AD651" s="148" t="s">
        <v>4581</v>
      </c>
      <c r="AE651" s="184" t="str">
        <f>OBRA!Y649</f>
        <v>ING. J. GUADALUPE IBARRA RAMIREZ</v>
      </c>
      <c r="AF651" s="212">
        <v>250</v>
      </c>
      <c r="AG651" s="389" t="s">
        <v>1450</v>
      </c>
      <c r="AH651" s="607">
        <f t="shared" si="46"/>
        <v>21707.459719999999</v>
      </c>
      <c r="AI651" s="389">
        <v>8000</v>
      </c>
      <c r="AJ651" s="1536">
        <v>8000</v>
      </c>
      <c r="AK651" s="1536"/>
      <c r="AL651" s="1621">
        <v>20.289847999999999</v>
      </c>
      <c r="AM651" s="1622">
        <v>103.340535</v>
      </c>
      <c r="AN651" s="1619" t="s">
        <v>4590</v>
      </c>
      <c r="AO651" s="1619" t="s">
        <v>4590</v>
      </c>
      <c r="AP651" s="1619" t="s">
        <v>4590</v>
      </c>
      <c r="AQ651" s="523" t="s">
        <v>4590</v>
      </c>
      <c r="AR651" s="523"/>
      <c r="AS651" s="697" t="s">
        <v>4590</v>
      </c>
      <c r="AT651" s="1867"/>
      <c r="AU651" s="1867"/>
      <c r="AV651" s="1867"/>
      <c r="AW651" s="1867"/>
      <c r="AX651" s="1867"/>
      <c r="AY651" s="1867"/>
      <c r="AZ651" s="1867"/>
      <c r="BA651" s="1867"/>
      <c r="BB651" s="163"/>
      <c r="BC651" s="163"/>
      <c r="BD651" s="163"/>
      <c r="BE651" s="163"/>
      <c r="BF651" s="163"/>
      <c r="BG651" s="163"/>
      <c r="BH651" s="163"/>
      <c r="BI651" s="33"/>
      <c r="BJ651" s="12"/>
    </row>
    <row r="652" spans="1:62" ht="105" hidden="1" customHeight="1">
      <c r="A652" s="16">
        <f>OBRA!K650</f>
        <v>2022</v>
      </c>
      <c r="B652" s="781" t="s">
        <v>3947</v>
      </c>
      <c r="C652" s="781">
        <f>OBRA!L650</f>
        <v>224015</v>
      </c>
      <c r="D652" s="781" t="s">
        <v>550</v>
      </c>
      <c r="E652" s="2" t="str">
        <f>OBRA!N650</f>
        <v>CUENTA CORRIENTE</v>
      </c>
      <c r="F652" s="18" t="s">
        <v>1427</v>
      </c>
      <c r="G652" s="880"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624" t="s">
        <v>4598</v>
      </c>
      <c r="L652" s="1348" t="s">
        <v>4754</v>
      </c>
      <c r="M652" s="3" t="s">
        <v>4571</v>
      </c>
      <c r="N652" s="3" t="str">
        <f>OBRA!R650</f>
        <v>CHANTEPEC</v>
      </c>
      <c r="O652" s="505" t="s">
        <v>4566</v>
      </c>
      <c r="P652" s="4">
        <f>OBRA!S650</f>
        <v>3845696.93</v>
      </c>
      <c r="Q652" s="1045">
        <f t="shared" si="43"/>
        <v>3315255.9741379316</v>
      </c>
      <c r="R652" s="1045"/>
      <c r="S652" s="6">
        <f>OBRA!T650</f>
        <v>44839</v>
      </c>
      <c r="T652" s="1156" t="str">
        <f>OBRA!W650</f>
        <v>NO APLICA</v>
      </c>
      <c r="U652" s="5">
        <f>OBRA!U650</f>
        <v>44847</v>
      </c>
      <c r="V652" s="11">
        <f>OBRA!V650</f>
        <v>44895</v>
      </c>
      <c r="W652" s="1557">
        <f t="shared" si="48"/>
        <v>1153709.0789999999</v>
      </c>
      <c r="X652" s="1119">
        <f>OBRA!AT650+OBRA!AU650</f>
        <v>0</v>
      </c>
      <c r="Y652" s="1040" t="s">
        <v>4575</v>
      </c>
      <c r="Z652" s="146" t="str">
        <f>OBRA!X650</f>
        <v>GRUPO ARANGE, S.A. DE C.V.</v>
      </c>
      <c r="AA652" s="146" t="s">
        <v>5669</v>
      </c>
      <c r="AB652" s="148" t="s">
        <v>4582</v>
      </c>
      <c r="AC652" s="146" t="s">
        <v>2886</v>
      </c>
      <c r="AD652" s="148" t="s">
        <v>2888</v>
      </c>
      <c r="AE652" s="184" t="str">
        <f>OBRA!Y650</f>
        <v>ING. J. GUADALUPE IBARRA RAMIREZ</v>
      </c>
      <c r="AF652" s="212">
        <v>350</v>
      </c>
      <c r="AG652" s="389" t="s">
        <v>1450</v>
      </c>
      <c r="AH652" s="625">
        <f t="shared" si="46"/>
        <v>0</v>
      </c>
      <c r="AI652" s="389">
        <v>3600</v>
      </c>
      <c r="AJ652" s="1536">
        <v>3600</v>
      </c>
      <c r="AK652" s="1536"/>
      <c r="AL652" s="1621">
        <v>20.290989</v>
      </c>
      <c r="AM652" s="1622">
        <v>103.39118499999999</v>
      </c>
      <c r="AN652" s="1619" t="s">
        <v>4591</v>
      </c>
      <c r="AO652" s="1619" t="s">
        <v>4591</v>
      </c>
      <c r="AP652" s="1619" t="s">
        <v>4591</v>
      </c>
      <c r="AQ652" s="523" t="s">
        <v>4591</v>
      </c>
      <c r="AR652" s="523"/>
      <c r="AS652" s="697" t="s">
        <v>4591</v>
      </c>
      <c r="AT652" s="1854"/>
      <c r="AU652" s="1854"/>
      <c r="AV652" s="1854"/>
      <c r="AW652" s="1854"/>
      <c r="AX652" s="1854"/>
      <c r="AY652" s="1854"/>
      <c r="AZ652" s="1854"/>
      <c r="BA652" s="1854"/>
      <c r="BB652" s="1239"/>
      <c r="BC652" s="1239"/>
      <c r="BD652" s="1239"/>
      <c r="BE652" s="1239"/>
      <c r="BF652" s="1239"/>
      <c r="BG652" s="1239"/>
      <c r="BH652" s="1239"/>
      <c r="BI652" s="33" t="s">
        <v>5019</v>
      </c>
      <c r="BJ652" s="12"/>
    </row>
    <row r="653" spans="1:62" ht="97.5" hidden="1" customHeight="1">
      <c r="A653" s="16">
        <f>OBRA!K651</f>
        <v>2022</v>
      </c>
      <c r="B653" s="781" t="s">
        <v>3947</v>
      </c>
      <c r="C653" s="781">
        <f>OBRA!L651</f>
        <v>224016</v>
      </c>
      <c r="D653" s="781"/>
      <c r="E653" s="2" t="str">
        <f>OBRA!N651</f>
        <v>RAMO 33</v>
      </c>
      <c r="F653" s="662" t="s">
        <v>1427</v>
      </c>
      <c r="G653" s="880"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5901</v>
      </c>
      <c r="L653" s="1575" t="s">
        <v>6250</v>
      </c>
      <c r="M653" s="3" t="s">
        <v>4562</v>
      </c>
      <c r="N653" s="674" t="str">
        <f>OBRA!R651</f>
        <v>NEXTIPAC</v>
      </c>
      <c r="O653" s="505" t="s">
        <v>4566</v>
      </c>
      <c r="P653" s="4">
        <f>OBRA!S651</f>
        <v>645484.5</v>
      </c>
      <c r="Q653" s="1045">
        <f t="shared" si="43"/>
        <v>556452.1551724138</v>
      </c>
      <c r="R653" s="1762"/>
      <c r="S653" s="6">
        <f>OBRA!T651</f>
        <v>44851</v>
      </c>
      <c r="T653" s="1156">
        <f>OBRA!W651</f>
        <v>44848</v>
      </c>
      <c r="U653" s="5">
        <f>OBRA!U651</f>
        <v>44865</v>
      </c>
      <c r="V653" s="11">
        <f>OBRA!V651</f>
        <v>44883</v>
      </c>
      <c r="W653" s="1582">
        <f t="shared" si="48"/>
        <v>193645.35</v>
      </c>
      <c r="X653" s="1041">
        <f>OBRA!AT651+OBRA!AU651</f>
        <v>721865.14</v>
      </c>
      <c r="Y653" s="1050" t="s">
        <v>4550</v>
      </c>
      <c r="Z653" s="1111" t="str">
        <f>OBRA!X651</f>
        <v xml:space="preserve">INFRAESTRUCTURA Y EDIFICACIONES OROZCO S.A. DE C.V. </v>
      </c>
      <c r="AA653" s="1111" t="s">
        <v>5669</v>
      </c>
      <c r="AB653" s="400" t="s">
        <v>3882</v>
      </c>
      <c r="AC653" s="1111" t="s">
        <v>2890</v>
      </c>
      <c r="AD653" s="400" t="s">
        <v>4555</v>
      </c>
      <c r="AE653" s="663" t="str">
        <f>OBRA!Y651</f>
        <v>C. DANIEL RODRIGUEZ VALENZUELA</v>
      </c>
      <c r="AF653" s="212">
        <v>135.13</v>
      </c>
      <c r="AG653" s="389" t="s">
        <v>1450</v>
      </c>
      <c r="AH653" s="607">
        <f t="shared" si="46"/>
        <v>5342.0050321912231</v>
      </c>
      <c r="AI653" s="389">
        <v>90</v>
      </c>
      <c r="AJ653" s="1536">
        <v>150</v>
      </c>
      <c r="AK653" s="1763">
        <v>1</v>
      </c>
      <c r="AL653" s="1621">
        <v>20.289486</v>
      </c>
      <c r="AM653" s="1622">
        <v>103.412021</v>
      </c>
      <c r="AN653" s="1628" t="s">
        <v>4618</v>
      </c>
      <c r="AO653" s="565"/>
      <c r="AP653" s="1628" t="s">
        <v>4618</v>
      </c>
      <c r="AQ653" s="523" t="s">
        <v>4618</v>
      </c>
      <c r="AR653" s="523"/>
      <c r="AS653" s="697" t="s">
        <v>4618</v>
      </c>
      <c r="AT653" s="1869">
        <v>164767.15</v>
      </c>
      <c r="AU653" s="1869"/>
      <c r="AV653" s="1869">
        <v>557098.01</v>
      </c>
      <c r="AW653" s="1869">
        <v>0</v>
      </c>
      <c r="AX653" s="1869">
        <v>0</v>
      </c>
      <c r="AY653" s="1869">
        <v>0</v>
      </c>
      <c r="AZ653" s="1869">
        <v>0</v>
      </c>
      <c r="BA653" s="1869">
        <v>0</v>
      </c>
      <c r="BB653" s="2">
        <v>129.25</v>
      </c>
      <c r="BC653" s="2"/>
      <c r="BD653" s="2">
        <v>128.6</v>
      </c>
      <c r="BE653" s="2">
        <v>0</v>
      </c>
      <c r="BF653" s="2">
        <v>0</v>
      </c>
      <c r="BG653" s="2">
        <v>0</v>
      </c>
      <c r="BH653" s="413">
        <v>0</v>
      </c>
      <c r="BI653" s="413" t="s">
        <v>5019</v>
      </c>
      <c r="BJ653" s="12"/>
    </row>
    <row r="654" spans="1:62" ht="177.75" hidden="1" customHeight="1">
      <c r="A654" s="16">
        <f>OBRA!K652</f>
        <v>2022</v>
      </c>
      <c r="B654" s="781" t="s">
        <v>3947</v>
      </c>
      <c r="C654" s="781">
        <f>OBRA!L652</f>
        <v>224017</v>
      </c>
      <c r="D654" s="781" t="s">
        <v>550</v>
      </c>
      <c r="E654" s="2" t="str">
        <f>OBRA!N652</f>
        <v>RAMO 33</v>
      </c>
      <c r="F654" s="18" t="s">
        <v>1427</v>
      </c>
      <c r="G654" s="880"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624" t="s">
        <v>4599</v>
      </c>
      <c r="L654" s="1348" t="s">
        <v>6249</v>
      </c>
      <c r="M654" s="3" t="s">
        <v>5516</v>
      </c>
      <c r="N654" s="3" t="str">
        <f>OBRA!R652</f>
        <v>CABECERA MUNICIPAL</v>
      </c>
      <c r="O654" s="505" t="s">
        <v>4566</v>
      </c>
      <c r="P654" s="4">
        <f>OBRA!S652</f>
        <v>2479806.63</v>
      </c>
      <c r="Q654" s="1045">
        <f t="shared" si="43"/>
        <v>2137764.3362068967</v>
      </c>
      <c r="R654" s="1045"/>
      <c r="S654" s="6">
        <f>OBRA!T652</f>
        <v>44859</v>
      </c>
      <c r="T654" s="1156" t="str">
        <f>OBRA!W652</f>
        <v>NO APLICA</v>
      </c>
      <c r="U654" s="5">
        <f>OBRA!U652</f>
        <v>44862</v>
      </c>
      <c r="V654" s="11">
        <f>OBRA!V652</f>
        <v>44898</v>
      </c>
      <c r="W654" s="1557">
        <f t="shared" si="48"/>
        <v>743941.98899999994</v>
      </c>
      <c r="X654" s="1041">
        <f>OBRA!AT652+OBRA!AU652</f>
        <v>2386238.9700000002</v>
      </c>
      <c r="Y654" s="1110" t="s">
        <v>4576</v>
      </c>
      <c r="Z654" s="146" t="str">
        <f>OBRA!X652</f>
        <v>C. JOSÉ LUIS RANGEL GÁLVEZ</v>
      </c>
      <c r="AA654" s="146" t="s">
        <v>5668</v>
      </c>
      <c r="AB654" s="148" t="str">
        <f t="shared" si="44"/>
        <v>C. JOSÉ LUIS RANGEL GÁLVEZ</v>
      </c>
      <c r="AC654" s="146" t="s">
        <v>2035</v>
      </c>
      <c r="AD654" s="148" t="s">
        <v>3043</v>
      </c>
      <c r="AE654" s="184" t="str">
        <f>OBRA!Y652</f>
        <v>C. DANIEL RODRIGUEZ VALENZUELA</v>
      </c>
      <c r="AF654" s="212">
        <v>1770.97</v>
      </c>
      <c r="AG654" s="389" t="s">
        <v>1548</v>
      </c>
      <c r="AH654" s="607">
        <f t="shared" si="46"/>
        <v>1347.4191940010278</v>
      </c>
      <c r="AI654" s="389">
        <v>200</v>
      </c>
      <c r="AJ654" s="1536">
        <v>1000</v>
      </c>
      <c r="AK654" s="1536"/>
      <c r="AL654" s="1621">
        <v>20.290248999999999</v>
      </c>
      <c r="AM654" s="1622">
        <v>103.431879</v>
      </c>
      <c r="AN654" s="1619" t="s">
        <v>4592</v>
      </c>
      <c r="AO654" s="1349" t="s">
        <v>4592</v>
      </c>
      <c r="AP654" s="1619" t="s">
        <v>4592</v>
      </c>
      <c r="AQ654" s="523" t="s">
        <v>4592</v>
      </c>
      <c r="AR654" s="523"/>
      <c r="AS654" s="697" t="s">
        <v>4592</v>
      </c>
      <c r="AT654" s="1869">
        <v>263792.73</v>
      </c>
      <c r="AU654" s="1869"/>
      <c r="AV654" s="1869">
        <v>578799.34</v>
      </c>
      <c r="AW654" s="1869">
        <v>0</v>
      </c>
      <c r="AX654" s="1869">
        <v>1637214.56</v>
      </c>
      <c r="AY654" s="1869">
        <v>0</v>
      </c>
      <c r="AZ654" s="1869">
        <v>0</v>
      </c>
      <c r="BA654" s="1869">
        <v>0</v>
      </c>
      <c r="BB654" s="2">
        <v>225.5</v>
      </c>
      <c r="BC654" s="2"/>
      <c r="BD654" s="2">
        <v>219</v>
      </c>
      <c r="BE654" s="2">
        <v>0</v>
      </c>
      <c r="BF654" s="2">
        <v>1770.97</v>
      </c>
      <c r="BG654" s="2">
        <v>0</v>
      </c>
      <c r="BH654" s="413">
        <v>0</v>
      </c>
      <c r="BI654" s="413" t="s">
        <v>550</v>
      </c>
      <c r="BJ654" s="12"/>
    </row>
    <row r="655" spans="1:62" ht="211.5" hidden="1" customHeight="1">
      <c r="A655" s="16">
        <f>OBRA!K653</f>
        <v>2022</v>
      </c>
      <c r="B655" s="781" t="s">
        <v>3947</v>
      </c>
      <c r="C655" s="781">
        <f>OBRA!L653</f>
        <v>224018</v>
      </c>
      <c r="D655" s="781" t="s">
        <v>550</v>
      </c>
      <c r="E655" s="2" t="str">
        <f>OBRA!N653</f>
        <v>RAMO 33</v>
      </c>
      <c r="F655" s="18" t="s">
        <v>1427</v>
      </c>
      <c r="G655" s="880"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624" t="s">
        <v>4600</v>
      </c>
      <c r="L655" s="1348" t="s">
        <v>6257</v>
      </c>
      <c r="M655" s="3" t="s">
        <v>4572</v>
      </c>
      <c r="N655" s="3" t="str">
        <f>OBRA!R653</f>
        <v>CABECERA MUNICIPAL</v>
      </c>
      <c r="O655" s="505" t="s">
        <v>4566</v>
      </c>
      <c r="P655" s="4">
        <f>OBRA!S653</f>
        <v>2218847.77</v>
      </c>
      <c r="Q655" s="1045">
        <f t="shared" si="43"/>
        <v>1912799.801724138</v>
      </c>
      <c r="R655" s="1045"/>
      <c r="S655" s="6">
        <f>OBRA!T653</f>
        <v>44859</v>
      </c>
      <c r="T655" s="1156" t="str">
        <f>OBRA!W653</f>
        <v>NO APLICA</v>
      </c>
      <c r="U655" s="5">
        <f>OBRA!U653</f>
        <v>44862</v>
      </c>
      <c r="V655" s="11">
        <f>OBRA!V653</f>
        <v>44898</v>
      </c>
      <c r="W655" s="1557">
        <f t="shared" si="48"/>
        <v>665654.33100000001</v>
      </c>
      <c r="X655" s="1041">
        <f>OBRA!AT653+OBRA!AU653</f>
        <v>2402556.7200000002</v>
      </c>
      <c r="Y655" s="1110" t="s">
        <v>4577</v>
      </c>
      <c r="Z655" s="146" t="str">
        <f>OBRA!X653</f>
        <v>C. REFUGIO GUTIÉRREZ NIEVES</v>
      </c>
      <c r="AA655" s="146" t="s">
        <v>5668</v>
      </c>
      <c r="AB655" s="148" t="str">
        <f t="shared" si="44"/>
        <v>C. REFUGIO GUTIÉRREZ NIEVES</v>
      </c>
      <c r="AC655" s="146" t="s">
        <v>4583</v>
      </c>
      <c r="AD655" s="148" t="s">
        <v>4584</v>
      </c>
      <c r="AE655" s="184" t="str">
        <f>OBRA!Y653</f>
        <v>C. DANIEL RODRIGUEZ VALENZUELA</v>
      </c>
      <c r="AF655" s="19">
        <v>1566.71</v>
      </c>
      <c r="AG655" s="2" t="s">
        <v>1548</v>
      </c>
      <c r="AH655" s="607">
        <f t="shared" si="46"/>
        <v>1533.5044264733103</v>
      </c>
      <c r="AI655" s="2">
        <v>1000</v>
      </c>
      <c r="AJ655" s="514">
        <v>1000</v>
      </c>
      <c r="AK655" s="514"/>
      <c r="AL655" s="1621">
        <v>20.286294999999999</v>
      </c>
      <c r="AM655" s="1552">
        <v>103.438901</v>
      </c>
      <c r="AN655" s="1349" t="s">
        <v>4589</v>
      </c>
      <c r="AO655" s="1349" t="s">
        <v>4589</v>
      </c>
      <c r="AP655" s="1349" t="s">
        <v>4589</v>
      </c>
      <c r="AQ655" s="502" t="s">
        <v>4589</v>
      </c>
      <c r="AR655" s="502"/>
      <c r="AS655" s="697" t="s">
        <v>4589</v>
      </c>
      <c r="AT655" s="1869">
        <f>235502.15*1.16</f>
        <v>273182.49399999995</v>
      </c>
      <c r="AU655" s="1869"/>
      <c r="AV655" s="1869">
        <f>569126.39*1.16</f>
        <v>660186.61239999998</v>
      </c>
      <c r="AW655" s="1869">
        <v>0</v>
      </c>
      <c r="AX655" s="1869">
        <f>1498262.72</f>
        <v>1498262.72</v>
      </c>
      <c r="AY655" s="1869">
        <f>229030.26*1.16</f>
        <v>265675.10159999999</v>
      </c>
      <c r="AZ655" s="1869">
        <v>0</v>
      </c>
      <c r="BA655" s="1869">
        <f>29920.5*1.16</f>
        <v>34707.78</v>
      </c>
      <c r="BB655" s="2">
        <v>295.5</v>
      </c>
      <c r="BC655" s="2"/>
      <c r="BD655" s="2">
        <v>206</v>
      </c>
      <c r="BE655" s="2">
        <v>0</v>
      </c>
      <c r="BF655" s="2">
        <v>1578.67</v>
      </c>
      <c r="BG655" s="2">
        <v>238.6</v>
      </c>
      <c r="BH655" s="413">
        <v>0</v>
      </c>
      <c r="BI655" s="413" t="s">
        <v>550</v>
      </c>
      <c r="BJ655" s="12"/>
    </row>
    <row r="656" spans="1:62" ht="170.25" hidden="1" customHeight="1">
      <c r="A656" s="16">
        <f>OBRA!K654</f>
        <v>2022</v>
      </c>
      <c r="B656" s="781" t="s">
        <v>3947</v>
      </c>
      <c r="C656" s="781">
        <f>OBRA!L654</f>
        <v>224019</v>
      </c>
      <c r="D656" s="781" t="s">
        <v>550</v>
      </c>
      <c r="E656" s="2" t="str">
        <f>OBRA!N654</f>
        <v>RAMO 33</v>
      </c>
      <c r="F656" s="662" t="s">
        <v>1427</v>
      </c>
      <c r="G656" s="880"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5902</v>
      </c>
      <c r="L656" s="1575" t="s">
        <v>6250</v>
      </c>
      <c r="M656" s="3" t="s">
        <v>4561</v>
      </c>
      <c r="N656" s="674" t="str">
        <f>OBRA!R654</f>
        <v>SAN JUAN COSALÁ</v>
      </c>
      <c r="O656" s="505" t="s">
        <v>4566</v>
      </c>
      <c r="P656" s="4">
        <f>OBRA!S654</f>
        <v>762057.5</v>
      </c>
      <c r="Q656" s="1045">
        <f t="shared" si="43"/>
        <v>656946.12068965519</v>
      </c>
      <c r="R656" s="1762"/>
      <c r="S656" s="6">
        <f>OBRA!T654</f>
        <v>44872</v>
      </c>
      <c r="T656" s="1156">
        <f>OBRA!W654</f>
        <v>44869</v>
      </c>
      <c r="U656" s="5">
        <f>OBRA!U654</f>
        <v>44889</v>
      </c>
      <c r="V656" s="11">
        <f>OBRA!V654</f>
        <v>44900</v>
      </c>
      <c r="W656" s="1557">
        <v>228617.25</v>
      </c>
      <c r="X656" s="1041">
        <f>OBRA!AT654+OBRA!AU654</f>
        <v>745412.8</v>
      </c>
      <c r="Y656" s="1040" t="s">
        <v>5040</v>
      </c>
      <c r="Z656" s="1111" t="str">
        <f>OBRA!X654</f>
        <v>ESTRUCTURAS PLANEADAS DE OCCIDENTE, S.A. DE C.V.</v>
      </c>
      <c r="AA656" s="1111" t="s">
        <v>5669</v>
      </c>
      <c r="AB656" s="400" t="s">
        <v>4480</v>
      </c>
      <c r="AC656" s="146" t="s">
        <v>4481</v>
      </c>
      <c r="AD656" s="400" t="s">
        <v>4500</v>
      </c>
      <c r="AE656" s="184" t="str">
        <f>OBRA!Y654</f>
        <v>C. DANIEL RODRIGUEZ VALENZUELA</v>
      </c>
      <c r="AF656" s="19">
        <v>290.17</v>
      </c>
      <c r="AG656" s="2" t="s">
        <v>1450</v>
      </c>
      <c r="AH656" s="607">
        <f t="shared" si="46"/>
        <v>2568.8830685460248</v>
      </c>
      <c r="AI656" s="2">
        <v>100</v>
      </c>
      <c r="AJ656" s="514">
        <v>100</v>
      </c>
      <c r="AK656" s="1763">
        <v>1</v>
      </c>
      <c r="AL656" s="1551">
        <v>20.289956</v>
      </c>
      <c r="AM656" s="1552">
        <v>103.340638</v>
      </c>
      <c r="AN656" s="563" t="s">
        <v>5041</v>
      </c>
      <c r="AO656" s="563" t="s">
        <v>5041</v>
      </c>
      <c r="AP656" s="563" t="s">
        <v>5041</v>
      </c>
      <c r="AQ656" s="502" t="s">
        <v>5041</v>
      </c>
      <c r="AR656" s="502"/>
      <c r="AS656" s="697" t="s">
        <v>5041</v>
      </c>
      <c r="AT656" s="1869">
        <v>208176.84</v>
      </c>
      <c r="AU656" s="1869"/>
      <c r="AV656" s="1869">
        <v>537235.81000000006</v>
      </c>
      <c r="AW656" s="1869">
        <v>0</v>
      </c>
      <c r="AX656" s="1869">
        <v>0</v>
      </c>
      <c r="AY656" s="1869">
        <v>0</v>
      </c>
      <c r="AZ656" s="1869">
        <v>0</v>
      </c>
      <c r="BA656" s="1869">
        <v>0</v>
      </c>
      <c r="BB656" s="2">
        <v>183.04</v>
      </c>
      <c r="BC656" s="2"/>
      <c r="BD656" s="2">
        <v>290.17</v>
      </c>
      <c r="BE656" s="2">
        <v>0</v>
      </c>
      <c r="BF656" s="2">
        <v>0</v>
      </c>
      <c r="BG656" s="2">
        <v>0</v>
      </c>
      <c r="BH656" s="413">
        <v>0</v>
      </c>
      <c r="BI656" s="413" t="s">
        <v>550</v>
      </c>
      <c r="BJ656" s="12"/>
    </row>
    <row r="657" spans="1:62" s="104" customFormat="1" ht="15" hidden="1" customHeight="1">
      <c r="A657" s="82">
        <f>OBRA!K655</f>
        <v>2022</v>
      </c>
      <c r="B657" s="782" t="s">
        <v>3947</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3"/>
        <v>0</v>
      </c>
      <c r="R657" s="86"/>
      <c r="S657" s="87">
        <f>OBRA!T655</f>
        <v>0</v>
      </c>
      <c r="T657" s="1438">
        <f>OBRA!W655</f>
        <v>0</v>
      </c>
      <c r="U657" s="88">
        <f>OBRA!U655</f>
        <v>0</v>
      </c>
      <c r="V657" s="89">
        <f>OBRA!V655</f>
        <v>0</v>
      </c>
      <c r="W657" s="1739"/>
      <c r="X657" s="1459">
        <f>OBRA!AT655+OBRA!AU655</f>
        <v>0</v>
      </c>
      <c r="Y657" s="1038"/>
      <c r="Z657" s="147">
        <f>OBRA!X655</f>
        <v>0</v>
      </c>
      <c r="AA657" s="147"/>
      <c r="AB657" s="149">
        <f t="shared" si="44"/>
        <v>0</v>
      </c>
      <c r="AC657" s="147"/>
      <c r="AD657" s="149"/>
      <c r="AE657" s="185">
        <f>OBRA!Y655</f>
        <v>0</v>
      </c>
      <c r="AF657" s="84"/>
      <c r="AG657" s="85"/>
      <c r="AH657" s="1740" t="e">
        <f t="shared" si="46"/>
        <v>#DIV/0!</v>
      </c>
      <c r="AI657" s="85"/>
      <c r="AJ657" s="515"/>
      <c r="AK657" s="515"/>
      <c r="AL657" s="1544"/>
      <c r="AM657" s="1545"/>
      <c r="AN657" s="821"/>
      <c r="AO657" s="821"/>
      <c r="AP657" s="821"/>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hidden="1" customHeight="1">
      <c r="A658" s="16">
        <f>OBRA!K656</f>
        <v>2022</v>
      </c>
      <c r="B658" s="781" t="s">
        <v>3947</v>
      </c>
      <c r="C658" s="781">
        <f>OBRA!L656</f>
        <v>225003</v>
      </c>
      <c r="D658" s="781" t="s">
        <v>2313</v>
      </c>
      <c r="E658" s="2" t="str">
        <f>OBRA!N656</f>
        <v>CEA-FISE</v>
      </c>
      <c r="F658" s="697" t="s">
        <v>5653</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3"/>
        <v>3448275.8620689656</v>
      </c>
      <c r="R658" s="1762"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44"/>
        <v>-</v>
      </c>
      <c r="AC658" s="1111" t="s">
        <v>67</v>
      </c>
      <c r="AD658" s="400" t="s">
        <v>67</v>
      </c>
      <c r="AE658" s="554" t="str">
        <f>OBRA!Y656</f>
        <v>-</v>
      </c>
      <c r="AF658" s="161"/>
      <c r="AG658" s="511"/>
      <c r="AH658" s="625" t="e">
        <f t="shared" si="46"/>
        <v>#DIV/0!</v>
      </c>
      <c r="AI658" s="511"/>
      <c r="AJ658" s="507"/>
      <c r="AK658" s="507"/>
      <c r="AL658" s="626"/>
      <c r="AM658" s="1546"/>
      <c r="AN658" s="565"/>
      <c r="AO658" s="565"/>
      <c r="AP658" s="565"/>
      <c r="AQ658" s="507"/>
      <c r="AR658" s="507"/>
      <c r="AS658" s="512"/>
      <c r="AT658" s="507"/>
      <c r="AU658" s="507"/>
      <c r="AV658" s="507"/>
      <c r="AW658" s="507"/>
      <c r="AX658" s="507"/>
      <c r="AY658" s="507"/>
      <c r="AZ658" s="507"/>
      <c r="BA658" s="507"/>
      <c r="BB658" s="507"/>
      <c r="BC658" s="507"/>
      <c r="BD658" s="507"/>
      <c r="BE658" s="507"/>
      <c r="BF658" s="507"/>
      <c r="BG658" s="507"/>
      <c r="BH658" s="507"/>
      <c r="BI658" s="33"/>
      <c r="BJ658" s="12"/>
    </row>
    <row r="659" spans="1:62" ht="80.25" hidden="1" customHeight="1">
      <c r="A659" s="16">
        <f>OBRA!K657</f>
        <v>2022</v>
      </c>
      <c r="B659" s="781" t="s">
        <v>3947</v>
      </c>
      <c r="C659" s="781">
        <f>OBRA!L657</f>
        <v>225004</v>
      </c>
      <c r="D659" s="781" t="s">
        <v>2313</v>
      </c>
      <c r="E659" s="2" t="str">
        <f>OBRA!N657</f>
        <v>CEA-FISE</v>
      </c>
      <c r="F659" s="697" t="s">
        <v>5653</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3"/>
        <v>3448275.8620689656</v>
      </c>
      <c r="R659" s="1762"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Z659</f>
        <v>-</v>
      </c>
      <c r="AC659" s="1111" t="s">
        <v>67</v>
      </c>
      <c r="AD659" s="400" t="s">
        <v>67</v>
      </c>
      <c r="AE659" s="554" t="str">
        <f>OBRA!Y657</f>
        <v>-</v>
      </c>
      <c r="AF659" s="161"/>
      <c r="AG659" s="511"/>
      <c r="AH659" s="625" t="e">
        <f t="shared" si="46"/>
        <v>#DIV/0!</v>
      </c>
      <c r="AI659" s="511"/>
      <c r="AJ659" s="507"/>
      <c r="AK659" s="507"/>
      <c r="AL659" s="626"/>
      <c r="AM659" s="1546"/>
      <c r="AN659" s="565"/>
      <c r="AO659" s="565"/>
      <c r="AP659" s="565"/>
      <c r="AQ659" s="507"/>
      <c r="AR659" s="507"/>
      <c r="AS659" s="512"/>
      <c r="AT659" s="507"/>
      <c r="AU659" s="507"/>
      <c r="AV659" s="507"/>
      <c r="AW659" s="507"/>
      <c r="AX659" s="507"/>
      <c r="AY659" s="507"/>
      <c r="AZ659" s="507"/>
      <c r="BA659" s="507"/>
      <c r="BB659" s="507"/>
      <c r="BC659" s="507"/>
      <c r="BD659" s="507"/>
      <c r="BE659" s="507"/>
      <c r="BF659" s="507"/>
      <c r="BG659" s="507"/>
      <c r="BH659" s="507"/>
      <c r="BI659" s="33"/>
      <c r="BJ659" s="12"/>
    </row>
    <row r="660" spans="1:62" ht="62.25" hidden="1" customHeight="1">
      <c r="A660" s="16">
        <f>OBRA!K658</f>
        <v>2023</v>
      </c>
      <c r="B660" s="781" t="s">
        <v>3947</v>
      </c>
      <c r="C660" s="781">
        <f>OBRA!L658</f>
        <v>231014</v>
      </c>
      <c r="D660" s="781" t="s">
        <v>2313</v>
      </c>
      <c r="E660" s="2" t="str">
        <f>OBRA!N658</f>
        <v>FOCOCI</v>
      </c>
      <c r="F660" s="697" t="s">
        <v>5654</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4755</v>
      </c>
      <c r="M660" s="3" t="s">
        <v>2639</v>
      </c>
      <c r="N660" s="3" t="str">
        <f>OBRA!R658</f>
        <v>SAN JUAN COSALÁ</v>
      </c>
      <c r="O660" s="505" t="s">
        <v>5654</v>
      </c>
      <c r="P660" s="4">
        <f>OBRA!S658</f>
        <v>5000000</v>
      </c>
      <c r="Q660" s="1045">
        <f t="shared" ref="Q660:Q691" si="49">P660/1.16</f>
        <v>4310344.8275862075</v>
      </c>
      <c r="R660" s="1762"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Z660</f>
        <v>-</v>
      </c>
      <c r="AC660" s="1111" t="s">
        <v>67</v>
      </c>
      <c r="AD660" s="400" t="s">
        <v>67</v>
      </c>
      <c r="AE660" s="1818" t="str">
        <f>OBRA!Y658</f>
        <v>-</v>
      </c>
      <c r="AF660" s="1985"/>
      <c r="AG660" s="935"/>
      <c r="AH660" s="1986" t="e">
        <f t="shared" si="46"/>
        <v>#DIV/0!</v>
      </c>
      <c r="AI660" s="935"/>
      <c r="AJ660" s="1625"/>
      <c r="AK660" s="1625"/>
      <c r="AL660" s="1626"/>
      <c r="AM660" s="1627"/>
      <c r="AN660" s="563" t="s">
        <v>5654</v>
      </c>
      <c r="AO660" s="1989"/>
      <c r="AP660" s="1989"/>
      <c r="AQ660" s="1625"/>
      <c r="AR660" s="1625"/>
      <c r="AS660" s="512"/>
      <c r="AT660" s="1987">
        <v>0</v>
      </c>
      <c r="AU660" s="1987">
        <v>0</v>
      </c>
      <c r="AV660" s="1987">
        <v>0</v>
      </c>
      <c r="AW660" s="1987">
        <v>0</v>
      </c>
      <c r="AX660" s="1987">
        <v>0</v>
      </c>
      <c r="AY660" s="1987">
        <v>0</v>
      </c>
      <c r="AZ660" s="1987">
        <v>0</v>
      </c>
      <c r="BA660" s="1987">
        <v>0</v>
      </c>
      <c r="BB660" s="1988">
        <v>0</v>
      </c>
      <c r="BC660" s="1988">
        <v>0</v>
      </c>
      <c r="BD660" s="1988">
        <v>0</v>
      </c>
      <c r="BE660" s="1988">
        <v>0</v>
      </c>
      <c r="BF660" s="1988">
        <v>0</v>
      </c>
      <c r="BG660" s="1988">
        <v>0</v>
      </c>
      <c r="BH660" s="1988">
        <v>0</v>
      </c>
      <c r="BI660" s="33"/>
      <c r="BJ660" s="12"/>
    </row>
    <row r="661" spans="1:62" ht="60" hidden="1" customHeight="1">
      <c r="A661" s="16">
        <f>OBRA!K659</f>
        <v>2023</v>
      </c>
      <c r="B661" s="781" t="s">
        <v>3947</v>
      </c>
      <c r="C661" s="781">
        <f>OBRA!L659</f>
        <v>231021</v>
      </c>
      <c r="D661" s="781" t="s">
        <v>2313</v>
      </c>
      <c r="E661" s="2" t="str">
        <f>OBRA!N659</f>
        <v>CEA-FISE</v>
      </c>
      <c r="F661" s="697" t="s">
        <v>5654</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4754</v>
      </c>
      <c r="M661" s="3" t="s">
        <v>2720</v>
      </c>
      <c r="N661" s="3" t="str">
        <f>OBRA!R659</f>
        <v>SAN JUAN COSALÁ</v>
      </c>
      <c r="O661" s="505" t="s">
        <v>5654</v>
      </c>
      <c r="P661" s="4">
        <f>OBRA!S659</f>
        <v>4000000</v>
      </c>
      <c r="Q661" s="1045">
        <f t="shared" si="49"/>
        <v>3448275.8620689656</v>
      </c>
      <c r="R661" s="1762"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Z661</f>
        <v>-</v>
      </c>
      <c r="AC661" s="1111" t="s">
        <v>67</v>
      </c>
      <c r="AD661" s="400" t="s">
        <v>67</v>
      </c>
      <c r="AE661" s="554" t="str">
        <f>OBRA!Y659</f>
        <v>-</v>
      </c>
      <c r="AF661" s="1985"/>
      <c r="AG661" s="935"/>
      <c r="AH661" s="1986" t="e">
        <f>X661/AF661</f>
        <v>#DIV/0!</v>
      </c>
      <c r="AI661" s="935"/>
      <c r="AJ661" s="1625"/>
      <c r="AK661" s="1625"/>
      <c r="AL661" s="1626"/>
      <c r="AM661" s="1627"/>
      <c r="AN661" s="563" t="s">
        <v>5654</v>
      </c>
      <c r="AO661" s="1989"/>
      <c r="AP661" s="1989"/>
      <c r="AQ661" s="1625"/>
      <c r="AR661" s="1625"/>
      <c r="AS661" s="512"/>
      <c r="AT661" s="1987">
        <v>0</v>
      </c>
      <c r="AU661" s="1987">
        <v>0</v>
      </c>
      <c r="AV661" s="1987">
        <v>0</v>
      </c>
      <c r="AW661" s="1987">
        <v>0</v>
      </c>
      <c r="AX661" s="1987">
        <v>0</v>
      </c>
      <c r="AY661" s="1987">
        <v>0</v>
      </c>
      <c r="AZ661" s="1987">
        <v>0</v>
      </c>
      <c r="BA661" s="1987">
        <v>0</v>
      </c>
      <c r="BB661" s="1988">
        <v>0</v>
      </c>
      <c r="BC661" s="1988">
        <v>0</v>
      </c>
      <c r="BD661" s="1988">
        <v>0</v>
      </c>
      <c r="BE661" s="1988">
        <v>0</v>
      </c>
      <c r="BF661" s="1988">
        <v>0</v>
      </c>
      <c r="BG661" s="1988">
        <v>0</v>
      </c>
      <c r="BH661" s="1988">
        <v>0</v>
      </c>
      <c r="BI661" s="33"/>
      <c r="BJ661" s="12"/>
    </row>
    <row r="662" spans="1:62" ht="63" hidden="1" customHeight="1">
      <c r="A662" s="16">
        <f>OBRA!K660</f>
        <v>2023</v>
      </c>
      <c r="B662" s="781" t="s">
        <v>3947</v>
      </c>
      <c r="C662" s="781">
        <f>OBRA!L660</f>
        <v>231022</v>
      </c>
      <c r="D662" s="781" t="s">
        <v>2313</v>
      </c>
      <c r="E662" s="2" t="str">
        <f>OBRA!N660</f>
        <v>CEA-FISE</v>
      </c>
      <c r="F662" s="697" t="s">
        <v>5654</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4754</v>
      </c>
      <c r="M662" s="3" t="s">
        <v>6070</v>
      </c>
      <c r="N662" s="3" t="str">
        <f>OBRA!R660</f>
        <v>CABECERA MUNICIPAL</v>
      </c>
      <c r="O662" s="505" t="s">
        <v>5654</v>
      </c>
      <c r="P662" s="4">
        <f>OBRA!S660</f>
        <v>4000000</v>
      </c>
      <c r="Q662" s="1045">
        <f t="shared" si="49"/>
        <v>3448275.8620689656</v>
      </c>
      <c r="R662" s="1762"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Z662</f>
        <v>-</v>
      </c>
      <c r="AC662" s="1111" t="s">
        <v>67</v>
      </c>
      <c r="AD662" s="400" t="s">
        <v>67</v>
      </c>
      <c r="AE662" s="554" t="str">
        <f>OBRA!Y660</f>
        <v>-</v>
      </c>
      <c r="AF662" s="1985"/>
      <c r="AG662" s="935"/>
      <c r="AH662" s="1986" t="e">
        <f>X662/AF662</f>
        <v>#DIV/0!</v>
      </c>
      <c r="AI662" s="935"/>
      <c r="AJ662" s="1625"/>
      <c r="AK662" s="1625"/>
      <c r="AL662" s="1626"/>
      <c r="AM662" s="1627"/>
      <c r="AN662" s="563" t="s">
        <v>5654</v>
      </c>
      <c r="AO662" s="1989"/>
      <c r="AP662" s="1989"/>
      <c r="AQ662" s="1625"/>
      <c r="AR662" s="1625"/>
      <c r="AS662" s="512"/>
      <c r="AT662" s="1987">
        <v>0</v>
      </c>
      <c r="AU662" s="1987">
        <v>0</v>
      </c>
      <c r="AV662" s="1987">
        <v>0</v>
      </c>
      <c r="AW662" s="1987">
        <v>0</v>
      </c>
      <c r="AX662" s="1987">
        <v>0</v>
      </c>
      <c r="AY662" s="1987">
        <v>0</v>
      </c>
      <c r="AZ662" s="1987">
        <v>0</v>
      </c>
      <c r="BA662" s="1987">
        <v>0</v>
      </c>
      <c r="BB662" s="1988">
        <v>0</v>
      </c>
      <c r="BC662" s="1988">
        <v>0</v>
      </c>
      <c r="BD662" s="1988">
        <v>0</v>
      </c>
      <c r="BE662" s="1988">
        <v>0</v>
      </c>
      <c r="BF662" s="1988">
        <v>0</v>
      </c>
      <c r="BG662" s="1988">
        <v>0</v>
      </c>
      <c r="BH662" s="1988">
        <v>0</v>
      </c>
      <c r="BI662" s="33"/>
      <c r="BJ662" s="12"/>
    </row>
    <row r="663" spans="1:62" ht="120" hidden="1" customHeight="1">
      <c r="A663" s="16">
        <f>OBRA!K661</f>
        <v>2023</v>
      </c>
      <c r="B663" s="781" t="s">
        <v>3947</v>
      </c>
      <c r="C663" s="781">
        <f>OBRA!L661</f>
        <v>232001</v>
      </c>
      <c r="D663" s="781" t="s">
        <v>2313</v>
      </c>
      <c r="E663" s="2" t="str">
        <f>OBRA!N661</f>
        <v>CUENTA CORRIENTE</v>
      </c>
      <c r="F663" s="18" t="s">
        <v>1427</v>
      </c>
      <c r="G663" s="156" t="s">
        <v>2864</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6432</v>
      </c>
      <c r="M663" s="3" t="s">
        <v>6445</v>
      </c>
      <c r="N663" s="3" t="str">
        <f>OBRA!R661</f>
        <v>SAN JUAN COSALÁ</v>
      </c>
      <c r="O663" s="505" t="s">
        <v>4885</v>
      </c>
      <c r="P663" s="4">
        <f>OBRA!S661</f>
        <v>17400</v>
      </c>
      <c r="Q663" s="1045">
        <f t="shared" si="49"/>
        <v>15000.000000000002</v>
      </c>
      <c r="R663" s="1762" t="s">
        <v>67</v>
      </c>
      <c r="S663" s="6">
        <f>OBRA!T661</f>
        <v>44928</v>
      </c>
      <c r="T663" s="1156" t="str">
        <f>OBRA!W661</f>
        <v>-</v>
      </c>
      <c r="U663" s="5">
        <f>OBRA!U661</f>
        <v>44929</v>
      </c>
      <c r="V663" s="11">
        <f>OBRA!V661</f>
        <v>44931</v>
      </c>
      <c r="W663" s="1557">
        <v>0</v>
      </c>
      <c r="X663" s="1119">
        <f>OBRA!AT661+OBRA!AU661</f>
        <v>0</v>
      </c>
      <c r="Y663" s="1040" t="s">
        <v>6790</v>
      </c>
      <c r="Z663" s="146" t="str">
        <f>OBRA!X661</f>
        <v>ING. J. TRINIDAD NUÑEZ BRITO</v>
      </c>
      <c r="AA663" s="146" t="s">
        <v>5668</v>
      </c>
      <c r="AB663" s="2" t="s">
        <v>3759</v>
      </c>
      <c r="AC663" s="1817" t="s">
        <v>4429</v>
      </c>
      <c r="AD663" s="1816" t="s">
        <v>5636</v>
      </c>
      <c r="AE663" s="184" t="str">
        <f>OBRA!Y661</f>
        <v>ARQ. FRANCISCO SALAZAR</v>
      </c>
      <c r="AF663" s="19">
        <v>1</v>
      </c>
      <c r="AG663" s="2" t="s">
        <v>6780</v>
      </c>
      <c r="AH663" s="184">
        <f t="shared" ref="AH663:AH726" si="50">P663/AF663</f>
        <v>17400</v>
      </c>
      <c r="AI663" s="511"/>
      <c r="AJ663" s="507"/>
      <c r="AK663" s="1991">
        <v>1</v>
      </c>
      <c r="AL663" s="626"/>
      <c r="AM663" s="1546"/>
      <c r="AN663" s="565"/>
      <c r="AO663" s="565"/>
      <c r="AP663" s="565"/>
      <c r="AQ663" s="507"/>
      <c r="AR663" s="507"/>
      <c r="AS663" s="512"/>
      <c r="AT663" s="507"/>
      <c r="AU663" s="507"/>
      <c r="AV663" s="507"/>
      <c r="AW663" s="507"/>
      <c r="AX663" s="507"/>
      <c r="AY663" s="507"/>
      <c r="AZ663" s="507"/>
      <c r="BA663" s="507"/>
      <c r="BB663" s="507"/>
      <c r="BC663" s="507"/>
      <c r="BD663" s="507"/>
      <c r="BE663" s="507"/>
      <c r="BF663" s="507"/>
      <c r="BG663" s="507"/>
      <c r="BH663" s="507"/>
      <c r="BI663" s="33"/>
      <c r="BJ663" s="12"/>
    </row>
    <row r="664" spans="1:62" ht="108.75" hidden="1" customHeight="1">
      <c r="A664" s="16">
        <f>OBRA!K662</f>
        <v>2023</v>
      </c>
      <c r="B664" s="781" t="s">
        <v>3947</v>
      </c>
      <c r="C664" s="781">
        <f>OBRA!L662</f>
        <v>232002</v>
      </c>
      <c r="D664" s="781" t="s">
        <v>2313</v>
      </c>
      <c r="E664" s="2" t="str">
        <f>OBRA!N662</f>
        <v>CUENTA CORRIENTE</v>
      </c>
      <c r="F664" s="18" t="s">
        <v>1427</v>
      </c>
      <c r="G664" s="156" t="s">
        <v>2864</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6432</v>
      </c>
      <c r="M664" s="3" t="s">
        <v>6446</v>
      </c>
      <c r="N664" s="3" t="str">
        <f>OBRA!R662</f>
        <v>SAN PEDRO TESISTÁN</v>
      </c>
      <c r="O664" s="505" t="s">
        <v>4885</v>
      </c>
      <c r="P664" s="4">
        <f>OBRA!S662</f>
        <v>17400</v>
      </c>
      <c r="Q664" s="1045">
        <f t="shared" si="49"/>
        <v>15000.000000000002</v>
      </c>
      <c r="R664" s="79" t="s">
        <v>67</v>
      </c>
      <c r="S664" s="6">
        <f>OBRA!T662</f>
        <v>44928</v>
      </c>
      <c r="T664" s="1156" t="str">
        <f>OBRA!W662</f>
        <v>-</v>
      </c>
      <c r="U664" s="5">
        <f>OBRA!U662</f>
        <v>44931</v>
      </c>
      <c r="V664" s="11">
        <f>OBRA!V662</f>
        <v>44932</v>
      </c>
      <c r="W664" s="1557">
        <v>0</v>
      </c>
      <c r="X664" s="1119">
        <f>OBRA!AT662+OBRA!AU662</f>
        <v>0</v>
      </c>
      <c r="Y664" s="1040" t="s">
        <v>6790</v>
      </c>
      <c r="Z664" s="146" t="str">
        <f>OBRA!X662</f>
        <v>ING. J. TRINIDAD NUÑEZ BRITO</v>
      </c>
      <c r="AA664" s="146" t="s">
        <v>5668</v>
      </c>
      <c r="AB664" s="2" t="s">
        <v>3759</v>
      </c>
      <c r="AC664" s="1817" t="s">
        <v>4429</v>
      </c>
      <c r="AD664" s="1816" t="s">
        <v>5636</v>
      </c>
      <c r="AE664" s="1818" t="str">
        <f>OBRA!Y662</f>
        <v>ARQ. FRANCISCO SALAZAR</v>
      </c>
      <c r="AF664" s="19">
        <v>1</v>
      </c>
      <c r="AG664" s="2" t="s">
        <v>6780</v>
      </c>
      <c r="AH664" s="184">
        <f t="shared" si="50"/>
        <v>17400</v>
      </c>
      <c r="AI664" s="511"/>
      <c r="AJ664" s="507"/>
      <c r="AK664" s="1991">
        <v>1</v>
      </c>
      <c r="AL664" s="626"/>
      <c r="AM664" s="1546"/>
      <c r="AN664" s="565"/>
      <c r="AO664" s="565"/>
      <c r="AP664" s="565"/>
      <c r="AQ664" s="507"/>
      <c r="AR664" s="507"/>
      <c r="AS664" s="512"/>
      <c r="AT664" s="507"/>
      <c r="AU664" s="507"/>
      <c r="AV664" s="507"/>
      <c r="AW664" s="507"/>
      <c r="AX664" s="507"/>
      <c r="AY664" s="507"/>
      <c r="AZ664" s="507"/>
      <c r="BA664" s="507"/>
      <c r="BB664" s="507"/>
      <c r="BC664" s="507"/>
      <c r="BD664" s="507"/>
      <c r="BE664" s="507"/>
      <c r="BF664" s="507"/>
      <c r="BG664" s="507"/>
      <c r="BH664" s="507"/>
      <c r="BI664" s="33"/>
      <c r="BJ664" s="12"/>
    </row>
    <row r="665" spans="1:62" ht="114.75" hidden="1" customHeight="1">
      <c r="A665" s="16">
        <f>OBRA!K663</f>
        <v>2023</v>
      </c>
      <c r="B665" s="781" t="s">
        <v>3947</v>
      </c>
      <c r="C665" s="781">
        <f>OBRA!L663</f>
        <v>232003</v>
      </c>
      <c r="D665" s="781" t="s">
        <v>2313</v>
      </c>
      <c r="E665" s="2" t="str">
        <f>OBRA!N663</f>
        <v>CUENTA CORRIENTE</v>
      </c>
      <c r="F665" s="18" t="s">
        <v>1427</v>
      </c>
      <c r="G665" s="156" t="s">
        <v>2864</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6432</v>
      </c>
      <c r="M665" s="3" t="s">
        <v>6447</v>
      </c>
      <c r="N665" s="3" t="str">
        <f>OBRA!R663</f>
        <v>SAN PEDRO TESISTÁN</v>
      </c>
      <c r="O665" s="505" t="s">
        <v>4885</v>
      </c>
      <c r="P665" s="4">
        <f>OBRA!S663</f>
        <v>17400</v>
      </c>
      <c r="Q665" s="1045">
        <f t="shared" si="49"/>
        <v>15000.000000000002</v>
      </c>
      <c r="R665" s="79" t="s">
        <v>67</v>
      </c>
      <c r="S665" s="6">
        <f>OBRA!T663</f>
        <v>44928</v>
      </c>
      <c r="T665" s="1156" t="str">
        <f>OBRA!W663</f>
        <v>-</v>
      </c>
      <c r="U665" s="5">
        <f>OBRA!U663</f>
        <v>44928</v>
      </c>
      <c r="V665" s="11">
        <f>OBRA!V663</f>
        <v>44957</v>
      </c>
      <c r="W665" s="1557">
        <v>0</v>
      </c>
      <c r="X665" s="1119">
        <f>OBRA!AT663+OBRA!AU663</f>
        <v>0</v>
      </c>
      <c r="Y665" s="1040" t="s">
        <v>6790</v>
      </c>
      <c r="Z665" s="146" t="str">
        <f>OBRA!X663</f>
        <v>ING. J. TRINIDAD NUÑEZ BRITO</v>
      </c>
      <c r="AA665" s="146" t="s">
        <v>5668</v>
      </c>
      <c r="AB665" s="2" t="s">
        <v>3759</v>
      </c>
      <c r="AC665" s="1817" t="s">
        <v>4429</v>
      </c>
      <c r="AD665" s="1816" t="s">
        <v>5636</v>
      </c>
      <c r="AE665" s="1818" t="str">
        <f>OBRA!Y663</f>
        <v>ARQ. FRANCISCO SALAZAR</v>
      </c>
      <c r="AF665" s="19">
        <v>1</v>
      </c>
      <c r="AG665" s="2" t="s">
        <v>6780</v>
      </c>
      <c r="AH665" s="184">
        <f t="shared" si="50"/>
        <v>17400</v>
      </c>
      <c r="AI665" s="511"/>
      <c r="AJ665" s="507"/>
      <c r="AK665" s="1991">
        <v>1</v>
      </c>
      <c r="AL665" s="626"/>
      <c r="AM665" s="1546"/>
      <c r="AN665" s="565"/>
      <c r="AO665" s="565"/>
      <c r="AP665" s="565"/>
      <c r="AQ665" s="507"/>
      <c r="AR665" s="507"/>
      <c r="AS665" s="512"/>
      <c r="AT665" s="507"/>
      <c r="AU665" s="507"/>
      <c r="AV665" s="507"/>
      <c r="AW665" s="507"/>
      <c r="AX665" s="507"/>
      <c r="AY665" s="507"/>
      <c r="AZ665" s="507"/>
      <c r="BA665" s="507"/>
      <c r="BB665" s="507"/>
      <c r="BC665" s="507"/>
      <c r="BD665" s="507"/>
      <c r="BE665" s="507"/>
      <c r="BF665" s="507"/>
      <c r="BG665" s="507"/>
      <c r="BH665" s="507"/>
      <c r="BI665" s="33"/>
      <c r="BJ665" s="12"/>
    </row>
    <row r="666" spans="1:62" ht="93.75" hidden="1" customHeight="1">
      <c r="A666" s="16">
        <f>OBRA!K664</f>
        <v>2023</v>
      </c>
      <c r="B666" s="781" t="s">
        <v>3947</v>
      </c>
      <c r="C666" s="781">
        <f>OBRA!L664</f>
        <v>232004</v>
      </c>
      <c r="D666" s="781" t="s">
        <v>2313</v>
      </c>
      <c r="E666" s="2" t="str">
        <f>OBRA!N664</f>
        <v>CUENTA CORRIENTE</v>
      </c>
      <c r="F666" s="18" t="s">
        <v>1427</v>
      </c>
      <c r="G666" s="156" t="s">
        <v>2864</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6433</v>
      </c>
      <c r="M666" s="3" t="s">
        <v>4002</v>
      </c>
      <c r="N666" s="3" t="str">
        <f>OBRA!R664</f>
        <v>CABECERA MUNICIPAL</v>
      </c>
      <c r="O666" s="505" t="s">
        <v>4885</v>
      </c>
      <c r="P666" s="4">
        <f>OBRA!S664</f>
        <v>25520</v>
      </c>
      <c r="Q666" s="1045">
        <f t="shared" si="49"/>
        <v>22000</v>
      </c>
      <c r="R666" s="79" t="s">
        <v>67</v>
      </c>
      <c r="S666" s="6">
        <f>OBRA!T664</f>
        <v>44953</v>
      </c>
      <c r="T666" s="1156" t="str">
        <f>OBRA!W664</f>
        <v>-</v>
      </c>
      <c r="U666" s="5">
        <f>OBRA!U664</f>
        <v>44958</v>
      </c>
      <c r="V666" s="11">
        <f>OBRA!V664</f>
        <v>44960</v>
      </c>
      <c r="W666" s="1557">
        <v>0</v>
      </c>
      <c r="X666" s="1119">
        <f>OBRA!AT664+OBRA!AU664</f>
        <v>0</v>
      </c>
      <c r="Y666" s="1040" t="s">
        <v>6790</v>
      </c>
      <c r="Z666" s="146" t="str">
        <f>OBRA!X664</f>
        <v>ING. SERGIO CABRERA</v>
      </c>
      <c r="AA666" s="146" t="s">
        <v>5668</v>
      </c>
      <c r="AB666" s="1816" t="s">
        <v>4447</v>
      </c>
      <c r="AC666" s="1817" t="s">
        <v>5617</v>
      </c>
      <c r="AD666" s="1816" t="s">
        <v>4880</v>
      </c>
      <c r="AE666" s="1818" t="str">
        <f>OBRA!Y664</f>
        <v>ARQ. FRANCISCO SALAZAR</v>
      </c>
      <c r="AF666" s="19">
        <v>1</v>
      </c>
      <c r="AG666" s="2" t="s">
        <v>6433</v>
      </c>
      <c r="AH666" s="184">
        <f t="shared" si="50"/>
        <v>25520</v>
      </c>
      <c r="AI666" s="511"/>
      <c r="AJ666" s="507"/>
      <c r="AK666" s="1991">
        <v>1</v>
      </c>
      <c r="AL666" s="626"/>
      <c r="AM666" s="1546"/>
      <c r="AN666" s="565"/>
      <c r="AO666" s="565"/>
      <c r="AP666" s="565"/>
      <c r="AQ666" s="507"/>
      <c r="AR666" s="507"/>
      <c r="AS666" s="512"/>
      <c r="AT666" s="507"/>
      <c r="AU666" s="507"/>
      <c r="AV666" s="507"/>
      <c r="AW666" s="507"/>
      <c r="AX666" s="507"/>
      <c r="AY666" s="507"/>
      <c r="AZ666" s="507"/>
      <c r="BA666" s="507"/>
      <c r="BB666" s="507"/>
      <c r="BC666" s="507"/>
      <c r="BD666" s="507"/>
      <c r="BE666" s="507"/>
      <c r="BF666" s="507"/>
      <c r="BG666" s="507"/>
      <c r="BH666" s="507"/>
      <c r="BI666" s="33"/>
      <c r="BJ666" s="12"/>
    </row>
    <row r="667" spans="1:62" ht="82.5" hidden="1" customHeight="1">
      <c r="A667" s="16">
        <f>OBRA!K665</f>
        <v>2023</v>
      </c>
      <c r="B667" s="781" t="s">
        <v>3947</v>
      </c>
      <c r="C667" s="781">
        <f>OBRA!L665</f>
        <v>232005</v>
      </c>
      <c r="D667" s="781" t="s">
        <v>2313</v>
      </c>
      <c r="E667" s="2" t="str">
        <f>OBRA!N665</f>
        <v>CUENTA CORRIENTE</v>
      </c>
      <c r="F667" s="18" t="s">
        <v>1427</v>
      </c>
      <c r="G667" s="156" t="s">
        <v>2864</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6433</v>
      </c>
      <c r="M667" s="3" t="s">
        <v>3998</v>
      </c>
      <c r="N667" s="3" t="str">
        <f>OBRA!R665</f>
        <v>CABECERA MUNICIPAL</v>
      </c>
      <c r="O667" s="505" t="s">
        <v>4885</v>
      </c>
      <c r="P667" s="4">
        <f>OBRA!S665</f>
        <v>17400</v>
      </c>
      <c r="Q667" s="1045">
        <f t="shared" si="49"/>
        <v>15000.000000000002</v>
      </c>
      <c r="R667" s="79" t="s">
        <v>67</v>
      </c>
      <c r="S667" s="6">
        <f>OBRA!T665</f>
        <v>44953</v>
      </c>
      <c r="T667" s="1156" t="str">
        <f>OBRA!W665</f>
        <v>-</v>
      </c>
      <c r="U667" s="5">
        <f>OBRA!U665</f>
        <v>44960</v>
      </c>
      <c r="V667" s="11">
        <f>OBRA!V665</f>
        <v>44962</v>
      </c>
      <c r="W667" s="1557">
        <v>0</v>
      </c>
      <c r="X667" s="1119">
        <f>OBRA!AT665+OBRA!AU665</f>
        <v>0</v>
      </c>
      <c r="Y667" s="1040" t="s">
        <v>6790</v>
      </c>
      <c r="Z667" s="146" t="str">
        <f>OBRA!X665</f>
        <v>ING. SERGIO CABRERA</v>
      </c>
      <c r="AA667" s="146" t="s">
        <v>5668</v>
      </c>
      <c r="AB667" s="1816" t="s">
        <v>4447</v>
      </c>
      <c r="AC667" s="1817" t="s">
        <v>5617</v>
      </c>
      <c r="AD667" s="1816" t="s">
        <v>4880</v>
      </c>
      <c r="AE667" s="1818" t="str">
        <f>OBRA!Y665</f>
        <v>ARQ. FRANCISCO SALAZAR</v>
      </c>
      <c r="AF667" s="19">
        <v>1</v>
      </c>
      <c r="AG667" s="2" t="s">
        <v>6433</v>
      </c>
      <c r="AH667" s="184">
        <f t="shared" si="50"/>
        <v>17400</v>
      </c>
      <c r="AI667" s="511"/>
      <c r="AJ667" s="507"/>
      <c r="AK667" s="1991">
        <v>1</v>
      </c>
      <c r="AL667" s="626"/>
      <c r="AM667" s="1546"/>
      <c r="AN667" s="565"/>
      <c r="AO667" s="565"/>
      <c r="AP667" s="565"/>
      <c r="AQ667" s="507"/>
      <c r="AR667" s="507"/>
      <c r="AS667" s="512"/>
      <c r="AT667" s="507"/>
      <c r="AU667" s="507"/>
      <c r="AV667" s="507"/>
      <c r="AW667" s="507"/>
      <c r="AX667" s="507"/>
      <c r="AY667" s="507"/>
      <c r="AZ667" s="507"/>
      <c r="BA667" s="507"/>
      <c r="BB667" s="507"/>
      <c r="BC667" s="507"/>
      <c r="BD667" s="507"/>
      <c r="BE667" s="507"/>
      <c r="BF667" s="507"/>
      <c r="BG667" s="507"/>
      <c r="BH667" s="507"/>
      <c r="BI667" s="33"/>
      <c r="BJ667" s="12"/>
    </row>
    <row r="668" spans="1:62" ht="101.25" hidden="1" customHeight="1">
      <c r="A668" s="16">
        <f>OBRA!K666</f>
        <v>2023</v>
      </c>
      <c r="B668" s="781" t="s">
        <v>3947</v>
      </c>
      <c r="C668" s="781">
        <f>OBRA!L666</f>
        <v>232006</v>
      </c>
      <c r="D668" s="781" t="s">
        <v>2313</v>
      </c>
      <c r="E668" s="2" t="str">
        <f>OBRA!N666</f>
        <v>CUENTA CORRIENTE</v>
      </c>
      <c r="F668" s="18" t="s">
        <v>1427</v>
      </c>
      <c r="G668" s="156" t="s">
        <v>2864</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6434</v>
      </c>
      <c r="M668" s="3" t="s">
        <v>6448</v>
      </c>
      <c r="N668" s="3" t="str">
        <f>OBRA!R666</f>
        <v>NEXTIPAC</v>
      </c>
      <c r="O668" s="505" t="s">
        <v>4885</v>
      </c>
      <c r="P668" s="4">
        <f>OBRA!S666</f>
        <v>3500</v>
      </c>
      <c r="Q668" s="1045">
        <f t="shared" si="49"/>
        <v>3017.2413793103451</v>
      </c>
      <c r="R668" s="79" t="s">
        <v>67</v>
      </c>
      <c r="S668" s="6">
        <f>OBRA!T666</f>
        <v>44929</v>
      </c>
      <c r="T668" s="1156" t="str">
        <f>OBRA!W666</f>
        <v>-</v>
      </c>
      <c r="U668" s="5">
        <f>OBRA!U666</f>
        <v>44931</v>
      </c>
      <c r="V668" s="11">
        <f>OBRA!V666</f>
        <v>44931</v>
      </c>
      <c r="W668" s="1557">
        <v>0</v>
      </c>
      <c r="X668" s="1119">
        <f>OBRA!AT666+OBRA!AU666</f>
        <v>0</v>
      </c>
      <c r="Y668" s="1040" t="s">
        <v>6790</v>
      </c>
      <c r="Z668" s="146" t="str">
        <f>OBRA!X666</f>
        <v>PEDRO MACHUCA SAAVEDRA</v>
      </c>
      <c r="AA668" s="146" t="s">
        <v>5668</v>
      </c>
      <c r="AB668" s="1816" t="str">
        <f>Z668</f>
        <v>PEDRO MACHUCA SAAVEDRA</v>
      </c>
      <c r="AC668" s="1817" t="s">
        <v>1176</v>
      </c>
      <c r="AD668" s="1816" t="s">
        <v>1176</v>
      </c>
      <c r="AE668" s="1818" t="str">
        <f>OBRA!Y666</f>
        <v>ARQ. FRANCISCO SALAZAR</v>
      </c>
      <c r="AF668" s="19">
        <v>1</v>
      </c>
      <c r="AG668" s="2" t="s">
        <v>1573</v>
      </c>
      <c r="AH668" s="184">
        <f t="shared" si="50"/>
        <v>3500</v>
      </c>
      <c r="AI668" s="511"/>
      <c r="AJ668" s="507"/>
      <c r="AK668" s="1991">
        <v>1</v>
      </c>
      <c r="AL668" s="626"/>
      <c r="AM668" s="1546"/>
      <c r="AN668" s="565"/>
      <c r="AO668" s="565"/>
      <c r="AP668" s="565"/>
      <c r="AQ668" s="507"/>
      <c r="AR668" s="507"/>
      <c r="AS668" s="512"/>
      <c r="AT668" s="507"/>
      <c r="AU668" s="507"/>
      <c r="AV668" s="507"/>
      <c r="AW668" s="507"/>
      <c r="AX668" s="507"/>
      <c r="AY668" s="507"/>
      <c r="AZ668" s="507"/>
      <c r="BA668" s="507"/>
      <c r="BB668" s="507"/>
      <c r="BC668" s="507"/>
      <c r="BD668" s="507"/>
      <c r="BE668" s="507"/>
      <c r="BF668" s="507"/>
      <c r="BG668" s="507"/>
      <c r="BH668" s="507"/>
      <c r="BI668" s="33"/>
      <c r="BJ668" s="12"/>
    </row>
    <row r="669" spans="1:62" ht="90" hidden="1" customHeight="1">
      <c r="A669" s="16">
        <f>OBRA!K667</f>
        <v>2023</v>
      </c>
      <c r="B669" s="781" t="s">
        <v>3947</v>
      </c>
      <c r="C669" s="781">
        <f>OBRA!L667</f>
        <v>232007</v>
      </c>
      <c r="D669" s="781" t="s">
        <v>2313</v>
      </c>
      <c r="E669" s="2" t="str">
        <f>OBRA!N667</f>
        <v>CUENTA CORRIENTE</v>
      </c>
      <c r="F669" s="18" t="s">
        <v>1427</v>
      </c>
      <c r="G669" s="156" t="s">
        <v>2864</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6434</v>
      </c>
      <c r="M669" s="3" t="s">
        <v>6449</v>
      </c>
      <c r="N669" s="3" t="str">
        <f>OBRA!R667</f>
        <v>SAN JUAN COSALÁ</v>
      </c>
      <c r="O669" s="505" t="s">
        <v>4885</v>
      </c>
      <c r="P669" s="4">
        <f>OBRA!S667</f>
        <v>3500</v>
      </c>
      <c r="Q669" s="1045">
        <f t="shared" si="49"/>
        <v>3017.2413793103451</v>
      </c>
      <c r="R669" s="79" t="s">
        <v>67</v>
      </c>
      <c r="S669" s="6">
        <f>OBRA!T667</f>
        <v>44970</v>
      </c>
      <c r="T669" s="1156" t="str">
        <f>OBRA!W667</f>
        <v>-</v>
      </c>
      <c r="U669" s="5">
        <f>OBRA!U667</f>
        <v>44972</v>
      </c>
      <c r="V669" s="11">
        <f>OBRA!V667</f>
        <v>44972</v>
      </c>
      <c r="W669" s="1557">
        <v>0</v>
      </c>
      <c r="X669" s="1119">
        <f>OBRA!AT667+OBRA!AU667</f>
        <v>0</v>
      </c>
      <c r="Y669" s="1040" t="s">
        <v>6790</v>
      </c>
      <c r="Z669" s="146" t="str">
        <f>OBRA!X667</f>
        <v>PEDRO MACHUCA SAAVEDRA</v>
      </c>
      <c r="AA669" s="146" t="s">
        <v>5668</v>
      </c>
      <c r="AB669" s="1816" t="str">
        <f>Z669</f>
        <v>PEDRO MACHUCA SAAVEDRA</v>
      </c>
      <c r="AC669" s="1817" t="s">
        <v>1176</v>
      </c>
      <c r="AD669" s="1816" t="s">
        <v>1176</v>
      </c>
      <c r="AE669" s="1818" t="str">
        <f>OBRA!Y667</f>
        <v>ARQ. FRANCISCO SALAZAR</v>
      </c>
      <c r="AF669" s="19">
        <v>1</v>
      </c>
      <c r="AG669" s="2" t="s">
        <v>1573</v>
      </c>
      <c r="AH669" s="184">
        <f t="shared" si="50"/>
        <v>3500</v>
      </c>
      <c r="AI669" s="511"/>
      <c r="AJ669" s="507"/>
      <c r="AK669" s="1991">
        <v>1</v>
      </c>
      <c r="AL669" s="626"/>
      <c r="AM669" s="1546"/>
      <c r="AN669" s="565"/>
      <c r="AO669" s="565"/>
      <c r="AP669" s="565"/>
      <c r="AQ669" s="507"/>
      <c r="AR669" s="507"/>
      <c r="AS669" s="512"/>
      <c r="AT669" s="507"/>
      <c r="AU669" s="507"/>
      <c r="AV669" s="507"/>
      <c r="AW669" s="507"/>
      <c r="AX669" s="507"/>
      <c r="AY669" s="507"/>
      <c r="AZ669" s="507"/>
      <c r="BA669" s="507"/>
      <c r="BB669" s="507"/>
      <c r="BC669" s="507"/>
      <c r="BD669" s="507"/>
      <c r="BE669" s="507"/>
      <c r="BF669" s="507"/>
      <c r="BG669" s="507"/>
      <c r="BH669" s="507"/>
      <c r="BI669" s="33"/>
      <c r="BJ669" s="12"/>
    </row>
    <row r="670" spans="1:62" ht="152.25" hidden="1" customHeight="1">
      <c r="A670" s="16">
        <f>OBRA!K668</f>
        <v>2023</v>
      </c>
      <c r="B670" s="781" t="s">
        <v>3947</v>
      </c>
      <c r="C670" s="781">
        <f>OBRA!L668</f>
        <v>232008</v>
      </c>
      <c r="D670" s="781" t="s">
        <v>2313</v>
      </c>
      <c r="E670" s="2" t="str">
        <f>OBRA!N668</f>
        <v>CUENTA CORRIENTE</v>
      </c>
      <c r="F670" s="18" t="s">
        <v>1427</v>
      </c>
      <c r="G670" s="156" t="s">
        <v>2864</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6435</v>
      </c>
      <c r="M670" s="3" t="s">
        <v>6450</v>
      </c>
      <c r="N670" s="3" t="str">
        <f>OBRA!R668</f>
        <v>CABECERA MUNICIPAL</v>
      </c>
      <c r="O670" s="505" t="s">
        <v>4885</v>
      </c>
      <c r="P670" s="4">
        <f>OBRA!S668</f>
        <v>22272</v>
      </c>
      <c r="Q670" s="1045">
        <f t="shared" si="49"/>
        <v>19200</v>
      </c>
      <c r="R670" s="79" t="s">
        <v>67</v>
      </c>
      <c r="S670" s="6">
        <f>OBRA!T668</f>
        <v>44978</v>
      </c>
      <c r="T670" s="1156" t="str">
        <f>OBRA!W668</f>
        <v>-</v>
      </c>
      <c r="U670" s="5">
        <f>OBRA!U668</f>
        <v>44979</v>
      </c>
      <c r="V670" s="11">
        <f>OBRA!V668</f>
        <v>44979</v>
      </c>
      <c r="W670" s="1557">
        <v>0</v>
      </c>
      <c r="X670" s="1119">
        <f>OBRA!AT668+OBRA!AU668</f>
        <v>0</v>
      </c>
      <c r="Y670" s="1040" t="s">
        <v>6790</v>
      </c>
      <c r="Z670" s="146" t="str">
        <f>OBRA!X668</f>
        <v>ECCOC DE GUADALAJARA, S.A. DE C.V.</v>
      </c>
      <c r="AA670" s="146" t="s">
        <v>5669</v>
      </c>
      <c r="AB670" s="1816" t="s">
        <v>4503</v>
      </c>
      <c r="AC670" s="1817" t="s">
        <v>4433</v>
      </c>
      <c r="AD670" s="1816" t="s">
        <v>6784</v>
      </c>
      <c r="AE670" s="1818" t="str">
        <f>OBRA!Y668</f>
        <v>ARQ. FRANCISCO SALAZAR</v>
      </c>
      <c r="AF670" s="19">
        <v>1</v>
      </c>
      <c r="AG670" s="2" t="s">
        <v>6780</v>
      </c>
      <c r="AH670" s="184">
        <f t="shared" si="50"/>
        <v>22272</v>
      </c>
      <c r="AI670" s="511"/>
      <c r="AJ670" s="511"/>
      <c r="AK670" s="511"/>
      <c r="AL670" s="626"/>
      <c r="AM670" s="1546"/>
      <c r="AN670" s="565"/>
      <c r="AO670" s="565"/>
      <c r="AP670" s="565"/>
      <c r="AQ670" s="507"/>
      <c r="AR670" s="507"/>
      <c r="AS670" s="512"/>
      <c r="AT670" s="507"/>
      <c r="AU670" s="507"/>
      <c r="AV670" s="507"/>
      <c r="AW670" s="507"/>
      <c r="AX670" s="507"/>
      <c r="AY670" s="507"/>
      <c r="AZ670" s="507"/>
      <c r="BA670" s="507"/>
      <c r="BB670" s="507"/>
      <c r="BC670" s="507"/>
      <c r="BD670" s="507"/>
      <c r="BE670" s="507"/>
      <c r="BF670" s="507"/>
      <c r="BG670" s="507"/>
      <c r="BH670" s="507"/>
      <c r="BI670" s="33"/>
      <c r="BJ670" s="12"/>
    </row>
    <row r="671" spans="1:62" ht="165" hidden="1" customHeight="1">
      <c r="A671" s="16">
        <f>OBRA!K669</f>
        <v>2023</v>
      </c>
      <c r="B671" s="781" t="s">
        <v>3947</v>
      </c>
      <c r="C671" s="781">
        <f>OBRA!L669</f>
        <v>232009</v>
      </c>
      <c r="D671" s="781" t="s">
        <v>2313</v>
      </c>
      <c r="E671" s="2" t="str">
        <f>OBRA!N669</f>
        <v>CUENTA CORRIENTE</v>
      </c>
      <c r="F671" s="18" t="s">
        <v>1427</v>
      </c>
      <c r="G671" s="156" t="s">
        <v>2864</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6435</v>
      </c>
      <c r="M671" s="3" t="s">
        <v>4773</v>
      </c>
      <c r="N671" s="3" t="str">
        <f>OBRA!R669</f>
        <v>SAN JUAN COSALÁ</v>
      </c>
      <c r="O671" s="505" t="s">
        <v>4885</v>
      </c>
      <c r="P671" s="4">
        <f>OBRA!S669</f>
        <v>20880</v>
      </c>
      <c r="Q671" s="1045">
        <f t="shared" si="49"/>
        <v>18000</v>
      </c>
      <c r="R671" s="79" t="s">
        <v>67</v>
      </c>
      <c r="S671" s="6">
        <f>OBRA!T669</f>
        <v>45007</v>
      </c>
      <c r="T671" s="1156" t="str">
        <f>OBRA!W669</f>
        <v>-</v>
      </c>
      <c r="U671" s="5">
        <f>OBRA!U669</f>
        <v>45009</v>
      </c>
      <c r="V671" s="11">
        <f>OBRA!V669</f>
        <v>45016</v>
      </c>
      <c r="W671" s="1557">
        <v>0</v>
      </c>
      <c r="X671" s="1119">
        <f>OBRA!AT669+OBRA!AU669</f>
        <v>0</v>
      </c>
      <c r="Y671" s="1040" t="s">
        <v>6790</v>
      </c>
      <c r="Z671" s="146" t="str">
        <f>OBRA!X669</f>
        <v>ECCOC DE GUADALAJARA, S.A. DE C.V.</v>
      </c>
      <c r="AA671" s="146" t="s">
        <v>5669</v>
      </c>
      <c r="AB671" s="1816" t="s">
        <v>4503</v>
      </c>
      <c r="AC671" s="1817" t="s">
        <v>4433</v>
      </c>
      <c r="AD671" s="1816" t="s">
        <v>6784</v>
      </c>
      <c r="AE671" s="1818" t="str">
        <f>OBRA!Y669</f>
        <v>ARQ. FRANCISCO SALAZAR</v>
      </c>
      <c r="AF671" s="19">
        <v>1</v>
      </c>
      <c r="AG671" s="2" t="s">
        <v>6780</v>
      </c>
      <c r="AH671" s="184">
        <f t="shared" si="50"/>
        <v>20880</v>
      </c>
      <c r="AI671" s="511"/>
      <c r="AJ671" s="507"/>
      <c r="AK671" s="1991">
        <v>1</v>
      </c>
      <c r="AL671" s="626"/>
      <c r="AM671" s="1546"/>
      <c r="AN671" s="565"/>
      <c r="AO671" s="565"/>
      <c r="AP671" s="565"/>
      <c r="AQ671" s="507"/>
      <c r="AR671" s="507"/>
      <c r="AS671" s="512"/>
      <c r="AT671" s="507"/>
      <c r="AU671" s="507"/>
      <c r="AV671" s="507"/>
      <c r="AW671" s="507"/>
      <c r="AX671" s="507"/>
      <c r="AY671" s="507"/>
      <c r="AZ671" s="507"/>
      <c r="BA671" s="507"/>
      <c r="BB671" s="507"/>
      <c r="BC671" s="507"/>
      <c r="BD671" s="507"/>
      <c r="BE671" s="507"/>
      <c r="BF671" s="507"/>
      <c r="BG671" s="507"/>
      <c r="BH671" s="507"/>
      <c r="BI671" s="33"/>
      <c r="BJ671" s="12"/>
    </row>
    <row r="672" spans="1:62" ht="147" hidden="1" customHeight="1">
      <c r="A672" s="16">
        <f>OBRA!K670</f>
        <v>2023</v>
      </c>
      <c r="B672" s="781" t="s">
        <v>3947</v>
      </c>
      <c r="C672" s="781">
        <f>OBRA!L670</f>
        <v>232010</v>
      </c>
      <c r="D672" s="781" t="s">
        <v>2313</v>
      </c>
      <c r="E672" s="2" t="str">
        <f>OBRA!N670</f>
        <v>CUENTA CORRIENTE</v>
      </c>
      <c r="F672" s="18" t="s">
        <v>1427</v>
      </c>
      <c r="G672" s="156" t="s">
        <v>2864</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6435</v>
      </c>
      <c r="M672" s="3" t="s">
        <v>2639</v>
      </c>
      <c r="N672" s="3" t="str">
        <f>OBRA!R670</f>
        <v>SAN JUAN COSALÁ</v>
      </c>
      <c r="O672" s="505" t="s">
        <v>4885</v>
      </c>
      <c r="P672" s="4">
        <f>OBRA!S670</f>
        <v>27839.999999999996</v>
      </c>
      <c r="Q672" s="1045">
        <f t="shared" si="49"/>
        <v>24000</v>
      </c>
      <c r="R672" s="79" t="s">
        <v>67</v>
      </c>
      <c r="S672" s="6">
        <f>OBRA!T670</f>
        <v>45009</v>
      </c>
      <c r="T672" s="1156" t="str">
        <f>OBRA!W670</f>
        <v>-</v>
      </c>
      <c r="U672" s="5">
        <f>OBRA!U670</f>
        <v>45013</v>
      </c>
      <c r="V672" s="11">
        <f>OBRA!V670</f>
        <v>45016</v>
      </c>
      <c r="W672" s="1557">
        <v>0</v>
      </c>
      <c r="X672" s="1119">
        <f>OBRA!AT670+OBRA!AU670</f>
        <v>0</v>
      </c>
      <c r="Y672" s="1040" t="s">
        <v>6790</v>
      </c>
      <c r="Z672" s="146" t="str">
        <f>OBRA!X670</f>
        <v>ECCOC DE GUADALAJARA, S.A. DE C.V.</v>
      </c>
      <c r="AA672" s="146" t="s">
        <v>5669</v>
      </c>
      <c r="AB672" s="1816" t="s">
        <v>4503</v>
      </c>
      <c r="AC672" s="1817" t="s">
        <v>4433</v>
      </c>
      <c r="AD672" s="1816" t="s">
        <v>6784</v>
      </c>
      <c r="AE672" s="1818" t="str">
        <f>OBRA!Y670</f>
        <v>ARQ. FRANCISCO SALAZAR</v>
      </c>
      <c r="AF672" s="19">
        <v>1</v>
      </c>
      <c r="AG672" s="2" t="s">
        <v>6780</v>
      </c>
      <c r="AH672" s="184">
        <f t="shared" si="50"/>
        <v>27839.999999999996</v>
      </c>
      <c r="AI672" s="511"/>
      <c r="AJ672" s="507"/>
      <c r="AK672" s="1991">
        <v>1</v>
      </c>
      <c r="AL672" s="626"/>
      <c r="AM672" s="1546"/>
      <c r="AN672" s="565"/>
      <c r="AO672" s="565"/>
      <c r="AP672" s="565"/>
      <c r="AQ672" s="507"/>
      <c r="AR672" s="507"/>
      <c r="AS672" s="512"/>
      <c r="AT672" s="507"/>
      <c r="AU672" s="507"/>
      <c r="AV672" s="507"/>
      <c r="AW672" s="507"/>
      <c r="AX672" s="507"/>
      <c r="AY672" s="507"/>
      <c r="AZ672" s="507"/>
      <c r="BA672" s="507"/>
      <c r="BB672" s="507"/>
      <c r="BC672" s="507"/>
      <c r="BD672" s="507"/>
      <c r="BE672" s="507"/>
      <c r="BF672" s="507"/>
      <c r="BG672" s="507"/>
      <c r="BH672" s="507"/>
      <c r="BI672" s="33"/>
      <c r="BJ672" s="12"/>
    </row>
    <row r="673" spans="1:62" ht="104.25" hidden="1" customHeight="1">
      <c r="A673" s="16">
        <f>OBRA!K671</f>
        <v>2023</v>
      </c>
      <c r="B673" s="781" t="s">
        <v>3947</v>
      </c>
      <c r="C673" s="781">
        <f>OBRA!L671</f>
        <v>232011</v>
      </c>
      <c r="D673" s="781" t="s">
        <v>2313</v>
      </c>
      <c r="E673" s="2" t="str">
        <f>OBRA!N671</f>
        <v>CUENTA CORRIENTE</v>
      </c>
      <c r="F673" s="18" t="s">
        <v>1427</v>
      </c>
      <c r="G673" s="156" t="s">
        <v>2864</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6432</v>
      </c>
      <c r="M673" s="3" t="s">
        <v>6447</v>
      </c>
      <c r="N673" s="3" t="str">
        <f>OBRA!R671</f>
        <v>SAN PEDRO TESISTÁN</v>
      </c>
      <c r="O673" s="505" t="s">
        <v>6554</v>
      </c>
      <c r="P673" s="4">
        <f>OBRA!S671</f>
        <v>18560</v>
      </c>
      <c r="Q673" s="1045">
        <f t="shared" si="49"/>
        <v>16000.000000000002</v>
      </c>
      <c r="R673" s="79" t="s">
        <v>67</v>
      </c>
      <c r="S673" s="6">
        <f>OBRA!T671</f>
        <v>44988</v>
      </c>
      <c r="T673" s="1156" t="str">
        <f>OBRA!W671</f>
        <v>-</v>
      </c>
      <c r="U673" s="5">
        <f>OBRA!U671</f>
        <v>44991</v>
      </c>
      <c r="V673" s="11">
        <f>OBRA!V671</f>
        <v>44995</v>
      </c>
      <c r="W673" s="1557">
        <v>0</v>
      </c>
      <c r="X673" s="1119">
        <f>OBRA!AT671+OBRA!AU671</f>
        <v>0</v>
      </c>
      <c r="Y673" s="1040" t="s">
        <v>6790</v>
      </c>
      <c r="Z673" s="146" t="str">
        <f>OBRA!X671</f>
        <v>LEXCLI, S. DE R.L. DE C.V.</v>
      </c>
      <c r="AA673" s="146" t="s">
        <v>5669</v>
      </c>
      <c r="AB673" s="1816" t="s">
        <v>5618</v>
      </c>
      <c r="AC673" s="1817" t="s">
        <v>5619</v>
      </c>
      <c r="AD673" s="1816" t="s">
        <v>5620</v>
      </c>
      <c r="AE673" s="1818" t="str">
        <f>OBRA!Y671</f>
        <v>ARQ. FRANCISCO SALAZAR</v>
      </c>
      <c r="AF673" s="19">
        <v>1</v>
      </c>
      <c r="AG673" s="2" t="s">
        <v>6780</v>
      </c>
      <c r="AH673" s="184">
        <f t="shared" si="50"/>
        <v>18560</v>
      </c>
      <c r="AI673" s="511"/>
      <c r="AJ673" s="507"/>
      <c r="AK673" s="1991">
        <v>1</v>
      </c>
      <c r="AL673" s="626"/>
      <c r="AM673" s="1546"/>
      <c r="AN673" s="565"/>
      <c r="AO673" s="565"/>
      <c r="AP673" s="565"/>
      <c r="AQ673" s="507"/>
      <c r="AR673" s="507"/>
      <c r="AS673" s="512"/>
      <c r="AT673" s="507"/>
      <c r="AU673" s="507"/>
      <c r="AV673" s="507"/>
      <c r="AW673" s="507"/>
      <c r="AX673" s="507"/>
      <c r="AY673" s="507"/>
      <c r="AZ673" s="507"/>
      <c r="BA673" s="507"/>
      <c r="BB673" s="507"/>
      <c r="BC673" s="507"/>
      <c r="BD673" s="507"/>
      <c r="BE673" s="507"/>
      <c r="BF673" s="507"/>
      <c r="BG673" s="507"/>
      <c r="BH673" s="507"/>
      <c r="BI673" s="33"/>
      <c r="BJ673" s="12"/>
    </row>
    <row r="674" spans="1:62" ht="101.25" hidden="1" customHeight="1">
      <c r="A674" s="16">
        <f>OBRA!K672</f>
        <v>2023</v>
      </c>
      <c r="B674" s="781" t="s">
        <v>3947</v>
      </c>
      <c r="C674" s="781">
        <f>OBRA!L672</f>
        <v>232012</v>
      </c>
      <c r="D674" s="781" t="s">
        <v>2313</v>
      </c>
      <c r="E674" s="2" t="str">
        <f>OBRA!N672</f>
        <v>CUENTA CORRIENTE</v>
      </c>
      <c r="F674" s="18" t="s">
        <v>1427</v>
      </c>
      <c r="G674" s="156" t="s">
        <v>2864</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6432</v>
      </c>
      <c r="M674" s="3" t="s">
        <v>6451</v>
      </c>
      <c r="N674" s="3" t="str">
        <f>OBRA!R672</f>
        <v>SAN JUAN COSALÁ</v>
      </c>
      <c r="O674" s="505" t="s">
        <v>6554</v>
      </c>
      <c r="P674" s="4">
        <f>OBRA!S672</f>
        <v>18560</v>
      </c>
      <c r="Q674" s="1045">
        <f t="shared" si="49"/>
        <v>16000.000000000002</v>
      </c>
      <c r="R674" s="79" t="s">
        <v>67</v>
      </c>
      <c r="S674" s="6">
        <f>OBRA!T672</f>
        <v>44995</v>
      </c>
      <c r="T674" s="1156" t="str">
        <f>OBRA!W672</f>
        <v>-</v>
      </c>
      <c r="U674" s="5">
        <f>OBRA!U672</f>
        <v>44998</v>
      </c>
      <c r="V674" s="11">
        <f>OBRA!V672</f>
        <v>45002</v>
      </c>
      <c r="W674" s="1557">
        <v>0</v>
      </c>
      <c r="X674" s="1119">
        <f>OBRA!AT672+OBRA!AU672</f>
        <v>0</v>
      </c>
      <c r="Y674" s="1040" t="s">
        <v>6790</v>
      </c>
      <c r="Z674" s="146" t="str">
        <f>OBRA!X672</f>
        <v>LEXCLI, S. DE R.L. DE C.V.</v>
      </c>
      <c r="AA674" s="146" t="s">
        <v>5669</v>
      </c>
      <c r="AB674" s="1816" t="s">
        <v>5618</v>
      </c>
      <c r="AC674" s="1817" t="s">
        <v>5619</v>
      </c>
      <c r="AD674" s="1816" t="s">
        <v>5620</v>
      </c>
      <c r="AE674" s="1818" t="str">
        <f>OBRA!Y672</f>
        <v>ARQ. FRANCISCO SALAZAR</v>
      </c>
      <c r="AF674" s="19">
        <v>1</v>
      </c>
      <c r="AG674" s="2" t="s">
        <v>6780</v>
      </c>
      <c r="AH674" s="184">
        <f t="shared" si="50"/>
        <v>18560</v>
      </c>
      <c r="AI674" s="511"/>
      <c r="AJ674" s="507"/>
      <c r="AK674" s="1991">
        <v>1</v>
      </c>
      <c r="AL674" s="626"/>
      <c r="AM674" s="1546"/>
      <c r="AN674" s="565"/>
      <c r="AO674" s="565"/>
      <c r="AP674" s="565"/>
      <c r="AQ674" s="507"/>
      <c r="AR674" s="507"/>
      <c r="AS674" s="512"/>
      <c r="AT674" s="507"/>
      <c r="AU674" s="507"/>
      <c r="AV674" s="507"/>
      <c r="AW674" s="507"/>
      <c r="AX674" s="507"/>
      <c r="AY674" s="507"/>
      <c r="AZ674" s="507"/>
      <c r="BA674" s="507"/>
      <c r="BB674" s="507"/>
      <c r="BC674" s="507"/>
      <c r="BD674" s="507"/>
      <c r="BE674" s="507"/>
      <c r="BF674" s="507"/>
      <c r="BG674" s="507"/>
      <c r="BH674" s="507"/>
      <c r="BI674" s="33"/>
      <c r="BJ674" s="12"/>
    </row>
    <row r="675" spans="1:62" ht="99.75" hidden="1" customHeight="1">
      <c r="A675" s="16">
        <f>OBRA!K673</f>
        <v>2023</v>
      </c>
      <c r="B675" s="781" t="s">
        <v>3947</v>
      </c>
      <c r="C675" s="781">
        <f>OBRA!L673</f>
        <v>232013</v>
      </c>
      <c r="D675" s="781" t="s">
        <v>2313</v>
      </c>
      <c r="E675" s="2" t="str">
        <f>OBRA!N673</f>
        <v>CUENTA CORRIENTE</v>
      </c>
      <c r="F675" s="18" t="s">
        <v>1427</v>
      </c>
      <c r="G675" s="156" t="s">
        <v>2864</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6432</v>
      </c>
      <c r="M675" s="3" t="s">
        <v>6182</v>
      </c>
      <c r="N675" s="3" t="str">
        <f>OBRA!R673</f>
        <v>CABECERA MUNICIPAL</v>
      </c>
      <c r="O675" s="505" t="s">
        <v>6554</v>
      </c>
      <c r="P675" s="4">
        <f>OBRA!S673</f>
        <v>18560</v>
      </c>
      <c r="Q675" s="1045">
        <f t="shared" si="49"/>
        <v>16000.000000000002</v>
      </c>
      <c r="R675" s="79" t="s">
        <v>67</v>
      </c>
      <c r="S675" s="6">
        <f>OBRA!T673</f>
        <v>45002</v>
      </c>
      <c r="T675" s="1156" t="str">
        <f>OBRA!W673</f>
        <v>-</v>
      </c>
      <c r="U675" s="5">
        <f>OBRA!U673</f>
        <v>45005</v>
      </c>
      <c r="V675" s="11">
        <f>OBRA!V673</f>
        <v>45009</v>
      </c>
      <c r="W675" s="1557">
        <v>0</v>
      </c>
      <c r="X675" s="1119">
        <f>OBRA!AT673+OBRA!AU673</f>
        <v>0</v>
      </c>
      <c r="Y675" s="1040" t="s">
        <v>6790</v>
      </c>
      <c r="Z675" s="146" t="str">
        <f>OBRA!X673</f>
        <v>LEXCLI, S. DE R.L. DE C.V.</v>
      </c>
      <c r="AA675" s="146" t="s">
        <v>5669</v>
      </c>
      <c r="AB675" s="1816" t="s">
        <v>5618</v>
      </c>
      <c r="AC675" s="1817" t="s">
        <v>5619</v>
      </c>
      <c r="AD675" s="1816" t="s">
        <v>5620</v>
      </c>
      <c r="AE675" s="1818" t="str">
        <f>OBRA!Y673</f>
        <v>ARQ. FRANCISCO SALAZAR</v>
      </c>
      <c r="AF675" s="19">
        <v>1</v>
      </c>
      <c r="AG675" s="2" t="s">
        <v>6780</v>
      </c>
      <c r="AH675" s="184">
        <f t="shared" si="50"/>
        <v>18560</v>
      </c>
      <c r="AI675" s="511"/>
      <c r="AJ675" s="507"/>
      <c r="AK675" s="1991">
        <v>1</v>
      </c>
      <c r="AL675" s="626"/>
      <c r="AM675" s="1546"/>
      <c r="AN675" s="565"/>
      <c r="AO675" s="565"/>
      <c r="AP675" s="565"/>
      <c r="AQ675" s="507"/>
      <c r="AR675" s="507"/>
      <c r="AS675" s="512"/>
      <c r="AT675" s="507"/>
      <c r="AU675" s="507"/>
      <c r="AV675" s="507"/>
      <c r="AW675" s="507"/>
      <c r="AX675" s="507"/>
      <c r="AY675" s="507"/>
      <c r="AZ675" s="507"/>
      <c r="BA675" s="507"/>
      <c r="BB675" s="507"/>
      <c r="BC675" s="507"/>
      <c r="BD675" s="507"/>
      <c r="BE675" s="507"/>
      <c r="BF675" s="507"/>
      <c r="BG675" s="507"/>
      <c r="BH675" s="507"/>
      <c r="BI675" s="33"/>
      <c r="BJ675" s="12"/>
    </row>
    <row r="676" spans="1:62" ht="95.25" hidden="1" customHeight="1">
      <c r="A676" s="16">
        <f>OBRA!K674</f>
        <v>2023</v>
      </c>
      <c r="B676" s="781" t="s">
        <v>3947</v>
      </c>
      <c r="C676" s="781">
        <f>OBRA!L674</f>
        <v>232014</v>
      </c>
      <c r="D676" s="781" t="s">
        <v>2313</v>
      </c>
      <c r="E676" s="2" t="str">
        <f>OBRA!N674</f>
        <v>CUENTA CORRIENTE</v>
      </c>
      <c r="F676" s="18" t="s">
        <v>1427</v>
      </c>
      <c r="G676" s="156" t="s">
        <v>2864</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6432</v>
      </c>
      <c r="M676" s="3" t="s">
        <v>2531</v>
      </c>
      <c r="N676" s="3" t="str">
        <f>OBRA!R674</f>
        <v>SAN JUAN COSALÁ</v>
      </c>
      <c r="O676" s="505" t="s">
        <v>6554</v>
      </c>
      <c r="P676" s="4">
        <f>OBRA!S674</f>
        <v>18560</v>
      </c>
      <c r="Q676" s="1045">
        <f t="shared" si="49"/>
        <v>16000.000000000002</v>
      </c>
      <c r="R676" s="79" t="s">
        <v>67</v>
      </c>
      <c r="S676" s="6">
        <f>OBRA!T674</f>
        <v>45001</v>
      </c>
      <c r="T676" s="1156" t="str">
        <f>OBRA!W674</f>
        <v>-</v>
      </c>
      <c r="U676" s="5">
        <f>OBRA!U674</f>
        <v>45005</v>
      </c>
      <c r="V676" s="11">
        <f>OBRA!V674</f>
        <v>45009</v>
      </c>
      <c r="W676" s="1557">
        <v>0</v>
      </c>
      <c r="X676" s="1119">
        <f>OBRA!AT674+OBRA!AU674</f>
        <v>0</v>
      </c>
      <c r="Y676" s="1040" t="s">
        <v>6790</v>
      </c>
      <c r="Z676" s="146" t="str">
        <f>OBRA!X674</f>
        <v>LEXCLI, S. DE R.L. DE C.V.</v>
      </c>
      <c r="AA676" s="146" t="s">
        <v>5669</v>
      </c>
      <c r="AB676" s="1816" t="s">
        <v>5618</v>
      </c>
      <c r="AC676" s="1817" t="s">
        <v>5619</v>
      </c>
      <c r="AD676" s="1816" t="s">
        <v>5620</v>
      </c>
      <c r="AE676" s="1818" t="str">
        <f>OBRA!Y674</f>
        <v>ARQ. FRANCISCO SALAZAR</v>
      </c>
      <c r="AF676" s="19">
        <v>1</v>
      </c>
      <c r="AG676" s="2" t="s">
        <v>6780</v>
      </c>
      <c r="AH676" s="184">
        <f t="shared" si="50"/>
        <v>18560</v>
      </c>
      <c r="AI676" s="511"/>
      <c r="AJ676" s="507"/>
      <c r="AK676" s="1991">
        <v>1</v>
      </c>
      <c r="AL676" s="626"/>
      <c r="AM676" s="1546"/>
      <c r="AN676" s="565"/>
      <c r="AO676" s="565"/>
      <c r="AP676" s="565"/>
      <c r="AQ676" s="507"/>
      <c r="AR676" s="507"/>
      <c r="AS676" s="512"/>
      <c r="AT676" s="507"/>
      <c r="AU676" s="507"/>
      <c r="AV676" s="507"/>
      <c r="AW676" s="507"/>
      <c r="AX676" s="507"/>
      <c r="AY676" s="507"/>
      <c r="AZ676" s="507"/>
      <c r="BA676" s="507"/>
      <c r="BB676" s="507"/>
      <c r="BC676" s="507"/>
      <c r="BD676" s="507"/>
      <c r="BE676" s="507"/>
      <c r="BF676" s="507"/>
      <c r="BG676" s="507"/>
      <c r="BH676" s="507"/>
      <c r="BI676" s="33"/>
      <c r="BJ676" s="12"/>
    </row>
    <row r="677" spans="1:62" ht="75" hidden="1" customHeight="1">
      <c r="A677" s="16">
        <f>OBRA!K675</f>
        <v>2023</v>
      </c>
      <c r="B677" s="781" t="s">
        <v>3947</v>
      </c>
      <c r="C677" s="781">
        <f>OBRA!L675</f>
        <v>232015</v>
      </c>
      <c r="D677" s="781" t="s">
        <v>2313</v>
      </c>
      <c r="E677" s="2" t="str">
        <f>OBRA!N675</f>
        <v>CUENTA CORRIENTE</v>
      </c>
      <c r="F677" s="18" t="s">
        <v>1427</v>
      </c>
      <c r="G677" s="156" t="s">
        <v>2864</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6433</v>
      </c>
      <c r="M677" s="3" t="s">
        <v>4749</v>
      </c>
      <c r="N677" s="3" t="str">
        <f>OBRA!R675</f>
        <v>HUEJOTITÁN</v>
      </c>
      <c r="O677" s="505" t="s">
        <v>6554</v>
      </c>
      <c r="P677" s="4">
        <f>OBRA!S675</f>
        <v>11600</v>
      </c>
      <c r="Q677" s="1045">
        <f t="shared" si="49"/>
        <v>10000</v>
      </c>
      <c r="R677" s="79" t="s">
        <v>67</v>
      </c>
      <c r="S677" s="6">
        <f>OBRA!T675</f>
        <v>45005</v>
      </c>
      <c r="T677" s="1156" t="str">
        <f>OBRA!W675</f>
        <v>-</v>
      </c>
      <c r="U677" s="5">
        <f>OBRA!U675</f>
        <v>45012</v>
      </c>
      <c r="V677" s="11">
        <f>OBRA!V675</f>
        <v>45016</v>
      </c>
      <c r="W677" s="1557">
        <v>0</v>
      </c>
      <c r="X677" s="1119">
        <f>OBRA!AT675+OBRA!AU675</f>
        <v>0</v>
      </c>
      <c r="Y677" s="1040" t="s">
        <v>6790</v>
      </c>
      <c r="Z677" s="146" t="str">
        <f>OBRA!X675</f>
        <v>ING. SERGIO CABRERA</v>
      </c>
      <c r="AA677" s="146" t="s">
        <v>5668</v>
      </c>
      <c r="AB677" s="1816" t="s">
        <v>4447</v>
      </c>
      <c r="AC677" s="1817" t="s">
        <v>5617</v>
      </c>
      <c r="AD677" s="1816" t="s">
        <v>4880</v>
      </c>
      <c r="AE677" s="1818" t="str">
        <f>OBRA!Y675</f>
        <v>ARQ. FRANCISCO SALAZAR</v>
      </c>
      <c r="AF677" s="19">
        <v>1</v>
      </c>
      <c r="AG677" s="2" t="s">
        <v>6433</v>
      </c>
      <c r="AH677" s="184">
        <f t="shared" si="50"/>
        <v>11600</v>
      </c>
      <c r="AI677" s="511"/>
      <c r="AJ677" s="511"/>
      <c r="AK677" s="511"/>
      <c r="AL677" s="626"/>
      <c r="AM677" s="1546"/>
      <c r="AN677" s="565"/>
      <c r="AO677" s="565"/>
      <c r="AP677" s="565"/>
      <c r="AQ677" s="507"/>
      <c r="AR677" s="507"/>
      <c r="AS677" s="512"/>
      <c r="AT677" s="507"/>
      <c r="AU677" s="507"/>
      <c r="AV677" s="507"/>
      <c r="AW677" s="507"/>
      <c r="AX677" s="507"/>
      <c r="AY677" s="507"/>
      <c r="AZ677" s="507"/>
      <c r="BA677" s="507"/>
      <c r="BB677" s="507"/>
      <c r="BC677" s="507"/>
      <c r="BD677" s="507"/>
      <c r="BE677" s="507"/>
      <c r="BF677" s="507"/>
      <c r="BG677" s="507"/>
      <c r="BH677" s="507"/>
      <c r="BI677" s="33"/>
      <c r="BJ677" s="12"/>
    </row>
    <row r="678" spans="1:62" ht="126.75" hidden="1" customHeight="1">
      <c r="A678" s="16">
        <f>OBRA!K676</f>
        <v>2023</v>
      </c>
      <c r="B678" s="781" t="s">
        <v>3947</v>
      </c>
      <c r="C678" s="781">
        <f>OBRA!L676</f>
        <v>232016</v>
      </c>
      <c r="D678" s="781" t="s">
        <v>2313</v>
      </c>
      <c r="E678" s="2" t="str">
        <f>OBRA!N676</f>
        <v>CUENTA CORRIENTE</v>
      </c>
      <c r="F678" s="18" t="s">
        <v>1427</v>
      </c>
      <c r="G678" s="156" t="s">
        <v>2864</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6433</v>
      </c>
      <c r="M678" s="3" t="s">
        <v>4707</v>
      </c>
      <c r="N678" s="3" t="str">
        <f>OBRA!R676</f>
        <v>LAS TROJES</v>
      </c>
      <c r="O678" s="505" t="s">
        <v>6554</v>
      </c>
      <c r="P678" s="4">
        <f>OBRA!S676</f>
        <v>31319.999999999996</v>
      </c>
      <c r="Q678" s="1045">
        <f t="shared" si="49"/>
        <v>27000</v>
      </c>
      <c r="R678" s="79" t="s">
        <v>67</v>
      </c>
      <c r="S678" s="6">
        <f>OBRA!T676</f>
        <v>45029</v>
      </c>
      <c r="T678" s="1156" t="str">
        <f>OBRA!W676</f>
        <v>-</v>
      </c>
      <c r="U678" s="5">
        <f>OBRA!U676</f>
        <v>45033</v>
      </c>
      <c r="V678" s="11">
        <f>OBRA!V676</f>
        <v>45037</v>
      </c>
      <c r="W678" s="1557">
        <v>0</v>
      </c>
      <c r="X678" s="1119">
        <f>OBRA!AT676+OBRA!AU676</f>
        <v>0</v>
      </c>
      <c r="Y678" s="1040" t="s">
        <v>6790</v>
      </c>
      <c r="Z678" s="146" t="str">
        <f>OBRA!X676</f>
        <v>ING. SERGIO CABRERA</v>
      </c>
      <c r="AA678" s="146" t="s">
        <v>5668</v>
      </c>
      <c r="AB678" s="1816" t="s">
        <v>4447</v>
      </c>
      <c r="AC678" s="1817" t="s">
        <v>5617</v>
      </c>
      <c r="AD678" s="1816" t="s">
        <v>4880</v>
      </c>
      <c r="AE678" s="1818" t="str">
        <f>OBRA!Y676</f>
        <v>ARQ. FRANCISCO SALAZAR</v>
      </c>
      <c r="AF678" s="19">
        <v>1</v>
      </c>
      <c r="AG678" s="2" t="s">
        <v>6433</v>
      </c>
      <c r="AH678" s="184">
        <f t="shared" si="50"/>
        <v>31319.999999999996</v>
      </c>
      <c r="AI678" s="511"/>
      <c r="AJ678" s="511"/>
      <c r="AK678" s="511"/>
      <c r="AL678" s="626"/>
      <c r="AM678" s="1546"/>
      <c r="AN678" s="565"/>
      <c r="AO678" s="565"/>
      <c r="AP678" s="565"/>
      <c r="AQ678" s="507"/>
      <c r="AR678" s="507"/>
      <c r="AS678" s="512"/>
      <c r="AT678" s="507"/>
      <c r="AU678" s="507"/>
      <c r="AV678" s="507"/>
      <c r="AW678" s="507"/>
      <c r="AX678" s="507"/>
      <c r="AY678" s="507"/>
      <c r="AZ678" s="507"/>
      <c r="BA678" s="507"/>
      <c r="BB678" s="507"/>
      <c r="BC678" s="507"/>
      <c r="BD678" s="507"/>
      <c r="BE678" s="507"/>
      <c r="BF678" s="507"/>
      <c r="BG678" s="507"/>
      <c r="BH678" s="507"/>
      <c r="BI678" s="33"/>
      <c r="BJ678" s="12"/>
    </row>
    <row r="679" spans="1:62" ht="110.25" hidden="1" customHeight="1">
      <c r="A679" s="16">
        <f>OBRA!K677</f>
        <v>2023</v>
      </c>
      <c r="B679" s="781" t="s">
        <v>3947</v>
      </c>
      <c r="C679" s="781">
        <f>OBRA!L677</f>
        <v>232017</v>
      </c>
      <c r="D679" s="781" t="s">
        <v>2313</v>
      </c>
      <c r="E679" s="2" t="str">
        <f>OBRA!N677</f>
        <v>CUENTA CORRIENTE</v>
      </c>
      <c r="F679" s="18" t="s">
        <v>1427</v>
      </c>
      <c r="G679" s="156" t="s">
        <v>2864</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6436</v>
      </c>
      <c r="M679" s="3" t="s">
        <v>2557</v>
      </c>
      <c r="N679" s="3" t="str">
        <f>OBRA!R677</f>
        <v>CABECERA MUNICIPAL</v>
      </c>
      <c r="O679" s="505" t="s">
        <v>6554</v>
      </c>
      <c r="P679" s="4">
        <f>OBRA!S677</f>
        <v>23200</v>
      </c>
      <c r="Q679" s="1045">
        <f t="shared" si="49"/>
        <v>20000</v>
      </c>
      <c r="R679" s="79" t="s">
        <v>67</v>
      </c>
      <c r="S679" s="6">
        <f>OBRA!T677</f>
        <v>45065</v>
      </c>
      <c r="T679" s="1156" t="str">
        <f>OBRA!W677</f>
        <v>-</v>
      </c>
      <c r="U679" s="5">
        <f>OBRA!U677</f>
        <v>45068</v>
      </c>
      <c r="V679" s="11">
        <f>OBRA!V677</f>
        <v>45070</v>
      </c>
      <c r="W679" s="1557">
        <v>0</v>
      </c>
      <c r="X679" s="1119">
        <f>OBRA!AT677+OBRA!AU677</f>
        <v>0</v>
      </c>
      <c r="Y679" s="1040" t="s">
        <v>6790</v>
      </c>
      <c r="Z679" s="146" t="str">
        <f>OBRA!X677</f>
        <v xml:space="preserve">CICLOS GIP SC </v>
      </c>
      <c r="AA679" s="146" t="s">
        <v>5669</v>
      </c>
      <c r="AB679" s="1816" t="s">
        <v>3002</v>
      </c>
      <c r="AC679" s="1817" t="s">
        <v>2990</v>
      </c>
      <c r="AD679" s="1816" t="s">
        <v>5609</v>
      </c>
      <c r="AE679" s="1818" t="str">
        <f>OBRA!Y677</f>
        <v>ARQ. FRANCISCO SALAZAR</v>
      </c>
      <c r="AF679" s="19">
        <v>1</v>
      </c>
      <c r="AG679" s="2" t="s">
        <v>6780</v>
      </c>
      <c r="AH679" s="184">
        <f t="shared" si="50"/>
        <v>23200</v>
      </c>
      <c r="AI679" s="511"/>
      <c r="AJ679" s="507"/>
      <c r="AK679" s="1991">
        <v>1</v>
      </c>
      <c r="AL679" s="626"/>
      <c r="AM679" s="1546"/>
      <c r="AN679" s="565"/>
      <c r="AO679" s="565"/>
      <c r="AP679" s="565"/>
      <c r="AQ679" s="507"/>
      <c r="AR679" s="507"/>
      <c r="AS679" s="512"/>
      <c r="AT679" s="507"/>
      <c r="AU679" s="507"/>
      <c r="AV679" s="507"/>
      <c r="AW679" s="507"/>
      <c r="AX679" s="507"/>
      <c r="AY679" s="507"/>
      <c r="AZ679" s="507"/>
      <c r="BA679" s="507"/>
      <c r="BB679" s="507"/>
      <c r="BC679" s="507"/>
      <c r="BD679" s="507"/>
      <c r="BE679" s="507"/>
      <c r="BF679" s="507"/>
      <c r="BG679" s="507"/>
      <c r="BH679" s="507"/>
      <c r="BI679" s="33"/>
      <c r="BJ679" s="12"/>
    </row>
    <row r="680" spans="1:62" ht="117" hidden="1" customHeight="1">
      <c r="A680" s="16">
        <f>OBRA!K678</f>
        <v>2023</v>
      </c>
      <c r="B680" s="781" t="s">
        <v>3947</v>
      </c>
      <c r="C680" s="781">
        <f>OBRA!L678</f>
        <v>232018</v>
      </c>
      <c r="D680" s="781" t="s">
        <v>2313</v>
      </c>
      <c r="E680" s="2" t="str">
        <f>OBRA!N678</f>
        <v>CUENTA CORRIENTE</v>
      </c>
      <c r="F680" s="18" t="s">
        <v>1427</v>
      </c>
      <c r="G680" s="156" t="s">
        <v>2864</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6436</v>
      </c>
      <c r="M680" s="3" t="s">
        <v>6761</v>
      </c>
      <c r="N680" s="3" t="str">
        <f>OBRA!R678</f>
        <v>CABECERA MUNICIPAL</v>
      </c>
      <c r="O680" s="505" t="s">
        <v>6554</v>
      </c>
      <c r="P680" s="4">
        <f>OBRA!S678</f>
        <v>23200</v>
      </c>
      <c r="Q680" s="1045">
        <f t="shared" si="49"/>
        <v>20000</v>
      </c>
      <c r="R680" s="79" t="s">
        <v>67</v>
      </c>
      <c r="S680" s="6">
        <f>OBRA!T678</f>
        <v>45069</v>
      </c>
      <c r="T680" s="1156" t="str">
        <f>OBRA!W678</f>
        <v>-</v>
      </c>
      <c r="U680" s="5">
        <f>OBRA!U678</f>
        <v>45071</v>
      </c>
      <c r="V680" s="11">
        <f>OBRA!V678</f>
        <v>45072</v>
      </c>
      <c r="W680" s="1557">
        <v>0</v>
      </c>
      <c r="X680" s="1119">
        <f>OBRA!AT678+OBRA!AU678</f>
        <v>0</v>
      </c>
      <c r="Y680" s="1040" t="s">
        <v>6790</v>
      </c>
      <c r="Z680" s="146" t="str">
        <f>OBRA!X678</f>
        <v xml:space="preserve">CICLOS GIP SC </v>
      </c>
      <c r="AA680" s="146" t="s">
        <v>5669</v>
      </c>
      <c r="AB680" s="1816" t="s">
        <v>3002</v>
      </c>
      <c r="AC680" s="1817" t="s">
        <v>2990</v>
      </c>
      <c r="AD680" s="1816" t="s">
        <v>5609</v>
      </c>
      <c r="AE680" s="1818" t="str">
        <f>OBRA!Y678</f>
        <v>ARQ. FRANCISCO SALAZAR</v>
      </c>
      <c r="AF680" s="19">
        <v>1</v>
      </c>
      <c r="AG680" s="2" t="s">
        <v>6780</v>
      </c>
      <c r="AH680" s="184">
        <f t="shared" si="50"/>
        <v>23200</v>
      </c>
      <c r="AI680" s="511"/>
      <c r="AJ680" s="507"/>
      <c r="AK680" s="1991">
        <v>1</v>
      </c>
      <c r="AL680" s="626"/>
      <c r="AM680" s="1546"/>
      <c r="AN680" s="565"/>
      <c r="AO680" s="565"/>
      <c r="AP680" s="565"/>
      <c r="AQ680" s="507"/>
      <c r="AR680" s="507"/>
      <c r="AS680" s="512"/>
      <c r="AT680" s="507"/>
      <c r="AU680" s="507"/>
      <c r="AV680" s="507"/>
      <c r="AW680" s="507"/>
      <c r="AX680" s="507"/>
      <c r="AY680" s="507"/>
      <c r="AZ680" s="507"/>
      <c r="BA680" s="507"/>
      <c r="BB680" s="507"/>
      <c r="BC680" s="507"/>
      <c r="BD680" s="507"/>
      <c r="BE680" s="507"/>
      <c r="BF680" s="507"/>
      <c r="BG680" s="507"/>
      <c r="BH680" s="507"/>
      <c r="BI680" s="33"/>
      <c r="BJ680" s="12"/>
    </row>
    <row r="681" spans="1:62" ht="78" hidden="1" customHeight="1">
      <c r="A681" s="16">
        <f>OBRA!K679</f>
        <v>2023</v>
      </c>
      <c r="B681" s="781" t="s">
        <v>3947</v>
      </c>
      <c r="C681" s="781">
        <f>OBRA!L679</f>
        <v>232019</v>
      </c>
      <c r="D681" s="781" t="s">
        <v>2313</v>
      </c>
      <c r="E681" s="2" t="str">
        <f>OBRA!N679</f>
        <v>CUENTA CORRIENTE</v>
      </c>
      <c r="F681" s="18" t="s">
        <v>1427</v>
      </c>
      <c r="G681" s="156" t="s">
        <v>2864</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6433</v>
      </c>
      <c r="M681" s="3" t="s">
        <v>4809</v>
      </c>
      <c r="N681" s="3" t="str">
        <f>OBRA!R679</f>
        <v>CABECERA MUNICIPAL</v>
      </c>
      <c r="O681" s="505" t="s">
        <v>6554</v>
      </c>
      <c r="P681" s="4">
        <f>OBRA!S679</f>
        <v>5999.9955999999993</v>
      </c>
      <c r="Q681" s="1045">
        <f t="shared" si="49"/>
        <v>5172.41</v>
      </c>
      <c r="R681" s="79" t="s">
        <v>67</v>
      </c>
      <c r="S681" s="6">
        <f>OBRA!T679</f>
        <v>45099</v>
      </c>
      <c r="T681" s="1156" t="str">
        <f>OBRA!W679</f>
        <v>-</v>
      </c>
      <c r="U681" s="5">
        <f>OBRA!U679</f>
        <v>45099</v>
      </c>
      <c r="V681" s="11">
        <f>OBRA!V679</f>
        <v>45103</v>
      </c>
      <c r="W681" s="1557">
        <v>0</v>
      </c>
      <c r="X681" s="1119">
        <f>OBRA!AT679+OBRA!AU679</f>
        <v>0</v>
      </c>
      <c r="Y681" s="1040" t="s">
        <v>6790</v>
      </c>
      <c r="Z681" s="146" t="str">
        <f>OBRA!X679</f>
        <v>ING. LUIS JOEL HUERTA LOMA</v>
      </c>
      <c r="AA681" s="146" t="s">
        <v>5668</v>
      </c>
      <c r="AB681" s="1816" t="str">
        <f>Z681</f>
        <v>ING. LUIS JOEL HUERTA LOMA</v>
      </c>
      <c r="AC681" s="1817" t="s">
        <v>5615</v>
      </c>
      <c r="AD681" s="1816" t="s">
        <v>5616</v>
      </c>
      <c r="AE681" s="1818" t="str">
        <f>OBRA!Y679</f>
        <v>ARQ. FRANCISCO SALAZAR</v>
      </c>
      <c r="AF681" s="19">
        <v>1</v>
      </c>
      <c r="AG681" s="2" t="s">
        <v>6433</v>
      </c>
      <c r="AH681" s="184">
        <f t="shared" si="50"/>
        <v>5999.9955999999993</v>
      </c>
      <c r="AI681" s="511"/>
      <c r="AJ681" s="507"/>
      <c r="AK681" s="1991">
        <v>1</v>
      </c>
      <c r="AL681" s="626"/>
      <c r="AM681" s="1546"/>
      <c r="AN681" s="565"/>
      <c r="AO681" s="565"/>
      <c r="AP681" s="565"/>
      <c r="AQ681" s="507"/>
      <c r="AR681" s="507"/>
      <c r="AS681" s="512"/>
      <c r="AT681" s="507"/>
      <c r="AU681" s="507"/>
      <c r="AV681" s="507"/>
      <c r="AW681" s="507"/>
      <c r="AX681" s="507"/>
      <c r="AY681" s="507"/>
      <c r="AZ681" s="507"/>
      <c r="BA681" s="507"/>
      <c r="BB681" s="507"/>
      <c r="BC681" s="507"/>
      <c r="BD681" s="507"/>
      <c r="BE681" s="507"/>
      <c r="BF681" s="507"/>
      <c r="BG681" s="507"/>
      <c r="BH681" s="507"/>
      <c r="BI681" s="33"/>
      <c r="BJ681" s="12"/>
    </row>
    <row r="682" spans="1:62" ht="78.75" hidden="1" customHeight="1">
      <c r="A682" s="16">
        <f>OBRA!K680</f>
        <v>2023</v>
      </c>
      <c r="B682" s="781" t="s">
        <v>3947</v>
      </c>
      <c r="C682" s="781">
        <f>OBRA!L680</f>
        <v>232020</v>
      </c>
      <c r="D682" s="781" t="s">
        <v>2313</v>
      </c>
      <c r="E682" s="2" t="str">
        <f>OBRA!N680</f>
        <v>CUENTA CORRIENTE</v>
      </c>
      <c r="F682" s="18" t="s">
        <v>1427</v>
      </c>
      <c r="G682" s="156" t="s">
        <v>2864</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6433</v>
      </c>
      <c r="M682" s="3" t="s">
        <v>67</v>
      </c>
      <c r="N682" s="3" t="str">
        <f>OBRA!R680</f>
        <v>MUNICIPIO</v>
      </c>
      <c r="O682" s="505" t="s">
        <v>6554</v>
      </c>
      <c r="P682" s="4">
        <f>OBRA!S680</f>
        <v>96447.573600000003</v>
      </c>
      <c r="Q682" s="1045">
        <f t="shared" si="49"/>
        <v>83144.460000000006</v>
      </c>
      <c r="R682" s="79" t="s">
        <v>67</v>
      </c>
      <c r="S682" s="6">
        <f>OBRA!T680</f>
        <v>45118</v>
      </c>
      <c r="T682" s="1156" t="str">
        <f>OBRA!W680</f>
        <v>-</v>
      </c>
      <c r="U682" s="5">
        <f>OBRA!U680</f>
        <v>45120</v>
      </c>
      <c r="V682" s="11">
        <f>OBRA!V680</f>
        <v>45129</v>
      </c>
      <c r="W682" s="1557">
        <v>0</v>
      </c>
      <c r="X682" s="1119">
        <f>OBRA!AT680+OBRA!AU680</f>
        <v>0</v>
      </c>
      <c r="Y682" s="1040" t="s">
        <v>6790</v>
      </c>
      <c r="Z682" s="146" t="str">
        <f>OBRA!X680</f>
        <v>ING. LUIS JOEL HUERTA LOMA</v>
      </c>
      <c r="AA682" s="146" t="s">
        <v>5668</v>
      </c>
      <c r="AB682" s="1816" t="str">
        <f>Z682</f>
        <v>ING. LUIS JOEL HUERTA LOMA</v>
      </c>
      <c r="AC682" s="1817" t="s">
        <v>5615</v>
      </c>
      <c r="AD682" s="1816" t="s">
        <v>5616</v>
      </c>
      <c r="AE682" s="1818" t="str">
        <f>OBRA!Y680</f>
        <v>ARQ. FRANCISCO SALAZAR</v>
      </c>
      <c r="AF682" s="19">
        <v>1</v>
      </c>
      <c r="AG682" s="2" t="s">
        <v>6433</v>
      </c>
      <c r="AH682" s="184">
        <f t="shared" si="50"/>
        <v>96447.573600000003</v>
      </c>
      <c r="AI682" s="511"/>
      <c r="AJ682" s="507"/>
      <c r="AK682" s="1991">
        <v>1</v>
      </c>
      <c r="AL682" s="626"/>
      <c r="AM682" s="1546"/>
      <c r="AN682" s="565"/>
      <c r="AO682" s="565"/>
      <c r="AP682" s="565"/>
      <c r="AQ682" s="507"/>
      <c r="AR682" s="507"/>
      <c r="AS682" s="512"/>
      <c r="AT682" s="507"/>
      <c r="AU682" s="507"/>
      <c r="AV682" s="507"/>
      <c r="AW682" s="507"/>
      <c r="AX682" s="507"/>
      <c r="AY682" s="507"/>
      <c r="AZ682" s="507"/>
      <c r="BA682" s="507"/>
      <c r="BB682" s="507"/>
      <c r="BC682" s="507"/>
      <c r="BD682" s="507"/>
      <c r="BE682" s="507"/>
      <c r="BF682" s="507"/>
      <c r="BG682" s="507"/>
      <c r="BH682" s="507"/>
      <c r="BI682" s="33"/>
      <c r="BJ682" s="12"/>
    </row>
    <row r="683" spans="1:62" ht="194.25" hidden="1" customHeight="1">
      <c r="A683" s="16">
        <f>OBRA!K681</f>
        <v>2023</v>
      </c>
      <c r="B683" s="781" t="s">
        <v>3947</v>
      </c>
      <c r="C683" s="781">
        <f>OBRA!L681</f>
        <v>232021</v>
      </c>
      <c r="D683" s="781" t="s">
        <v>2313</v>
      </c>
      <c r="E683" s="2" t="str">
        <f>OBRA!N681</f>
        <v>CUENTA CORRIENTE</v>
      </c>
      <c r="F683" s="18" t="s">
        <v>1427</v>
      </c>
      <c r="G683" s="156" t="s">
        <v>2864</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6437</v>
      </c>
      <c r="M683" s="544"/>
      <c r="N683" s="3" t="str">
        <f>OBRA!R681</f>
        <v>MUNICIPIO</v>
      </c>
      <c r="O683" s="505" t="s">
        <v>6770</v>
      </c>
      <c r="P683" s="4">
        <f>OBRA!S681</f>
        <v>17400</v>
      </c>
      <c r="Q683" s="1045">
        <f t="shared" si="49"/>
        <v>15000.000000000002</v>
      </c>
      <c r="R683" s="79" t="s">
        <v>67</v>
      </c>
      <c r="S683" s="6">
        <f>OBRA!T681</f>
        <v>45131</v>
      </c>
      <c r="T683" s="1156" t="str">
        <f>OBRA!W681</f>
        <v>-</v>
      </c>
      <c r="U683" s="5">
        <f>OBRA!U681</f>
        <v>45138</v>
      </c>
      <c r="V683" s="11">
        <f>OBRA!V681</f>
        <v>45187</v>
      </c>
      <c r="W683" s="1557">
        <v>0</v>
      </c>
      <c r="X683" s="1119">
        <f>OBRA!AT681+OBRA!AU681</f>
        <v>0</v>
      </c>
      <c r="Y683" s="1040" t="s">
        <v>6790</v>
      </c>
      <c r="Z683" s="146" t="str">
        <f>OBRA!X681</f>
        <v>SOLEC ENERGY, S.A. DE C.V.</v>
      </c>
      <c r="AA683" s="146" t="s">
        <v>5669</v>
      </c>
      <c r="AB683" s="1816" t="s">
        <v>4551</v>
      </c>
      <c r="AC683" s="1817" t="s">
        <v>4552</v>
      </c>
      <c r="AD683" s="1816" t="s">
        <v>4553</v>
      </c>
      <c r="AE683" s="1818" t="str">
        <f>OBRA!Y681</f>
        <v>ARQ. FRANCISCO SALAZAR</v>
      </c>
      <c r="AF683" s="19">
        <v>4</v>
      </c>
      <c r="AG683" s="2" t="s">
        <v>1573</v>
      </c>
      <c r="AH683" s="184">
        <f t="shared" si="50"/>
        <v>4350</v>
      </c>
      <c r="AI683" s="511"/>
      <c r="AJ683" s="507"/>
      <c r="AK683" s="1991">
        <v>1</v>
      </c>
      <c r="AL683" s="626"/>
      <c r="AM683" s="1546"/>
      <c r="AN683" s="565"/>
      <c r="AO683" s="565"/>
      <c r="AP683" s="565"/>
      <c r="AQ683" s="507"/>
      <c r="AR683" s="507"/>
      <c r="AS683" s="512"/>
      <c r="AT683" s="507"/>
      <c r="AU683" s="507"/>
      <c r="AV683" s="507"/>
      <c r="AW683" s="507"/>
      <c r="AX683" s="507"/>
      <c r="AY683" s="507"/>
      <c r="AZ683" s="507"/>
      <c r="BA683" s="507"/>
      <c r="BB683" s="507"/>
      <c r="BC683" s="507"/>
      <c r="BD683" s="507"/>
      <c r="BE683" s="507"/>
      <c r="BF683" s="507"/>
      <c r="BG683" s="507"/>
      <c r="BH683" s="507"/>
      <c r="BI683" s="33"/>
      <c r="BJ683" s="12"/>
    </row>
    <row r="684" spans="1:62" ht="93" hidden="1" customHeight="1">
      <c r="A684" s="16">
        <f>OBRA!K682</f>
        <v>2023</v>
      </c>
      <c r="B684" s="781" t="s">
        <v>3947</v>
      </c>
      <c r="C684" s="781">
        <f>OBRA!L682</f>
        <v>232022</v>
      </c>
      <c r="D684" s="781" t="s">
        <v>2313</v>
      </c>
      <c r="E684" s="2" t="str">
        <f>OBRA!N682</f>
        <v>CUENTA CORRIENTE</v>
      </c>
      <c r="F684" s="18" t="s">
        <v>1427</v>
      </c>
      <c r="G684" s="156" t="s">
        <v>2864</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6437</v>
      </c>
      <c r="M684" s="3" t="s">
        <v>5421</v>
      </c>
      <c r="N684" s="3" t="str">
        <f>OBRA!R682</f>
        <v>CHANTEPEC</v>
      </c>
      <c r="O684" s="505" t="s">
        <v>6770</v>
      </c>
      <c r="P684" s="4">
        <f>OBRA!S682</f>
        <v>73689.208799999993</v>
      </c>
      <c r="Q684" s="1045">
        <f t="shared" si="49"/>
        <v>63525.18</v>
      </c>
      <c r="R684" s="79" t="s">
        <v>67</v>
      </c>
      <c r="S684" s="6">
        <f>OBRA!T682</f>
        <v>45133</v>
      </c>
      <c r="T684" s="1156" t="str">
        <f>OBRA!W682</f>
        <v>-</v>
      </c>
      <c r="U684" s="5">
        <f>OBRA!U682</f>
        <v>45141</v>
      </c>
      <c r="V684" s="11">
        <f>OBRA!V682</f>
        <v>45155</v>
      </c>
      <c r="W684" s="1557">
        <v>0</v>
      </c>
      <c r="X684" s="1119">
        <f>OBRA!AT682+OBRA!AU682</f>
        <v>0</v>
      </c>
      <c r="Y684" s="1040" t="s">
        <v>6790</v>
      </c>
      <c r="Z684" s="146" t="str">
        <f>OBRA!X682</f>
        <v>SOLEC ENERGY, S.A. DE C.V.</v>
      </c>
      <c r="AA684" s="146" t="s">
        <v>5669</v>
      </c>
      <c r="AB684" s="1816" t="s">
        <v>4551</v>
      </c>
      <c r="AC684" s="1817" t="s">
        <v>4552</v>
      </c>
      <c r="AD684" s="1816" t="s">
        <v>4553</v>
      </c>
      <c r="AE684" s="1818" t="str">
        <f>OBRA!Y682</f>
        <v>ARQ. FRANCISCO SALAZAR</v>
      </c>
      <c r="AF684" s="19">
        <v>1</v>
      </c>
      <c r="AG684" s="2" t="s">
        <v>1573</v>
      </c>
      <c r="AH684" s="184">
        <f t="shared" si="50"/>
        <v>73689.208799999993</v>
      </c>
      <c r="AI684" s="511"/>
      <c r="AJ684" s="507"/>
      <c r="AK684" s="1991">
        <v>1</v>
      </c>
      <c r="AL684" s="626"/>
      <c r="AM684" s="1546"/>
      <c r="AN684" s="565"/>
      <c r="AO684" s="565"/>
      <c r="AP684" s="565"/>
      <c r="AQ684" s="507"/>
      <c r="AR684" s="507"/>
      <c r="AS684" s="512"/>
      <c r="AT684" s="507"/>
      <c r="AU684" s="507"/>
      <c r="AV684" s="507"/>
      <c r="AW684" s="507"/>
      <c r="AX684" s="507"/>
      <c r="AY684" s="507"/>
      <c r="AZ684" s="507"/>
      <c r="BA684" s="507"/>
      <c r="BB684" s="507"/>
      <c r="BC684" s="507"/>
      <c r="BD684" s="507"/>
      <c r="BE684" s="507"/>
      <c r="BF684" s="507"/>
      <c r="BG684" s="507"/>
      <c r="BH684" s="507"/>
      <c r="BI684" s="33"/>
      <c r="BJ684" s="12"/>
    </row>
    <row r="685" spans="1:62" ht="95.25" hidden="1" customHeight="1">
      <c r="A685" s="16">
        <f>OBRA!K683</f>
        <v>2023</v>
      </c>
      <c r="B685" s="781" t="s">
        <v>3947</v>
      </c>
      <c r="C685" s="781">
        <f>OBRA!L683</f>
        <v>232023</v>
      </c>
      <c r="D685" s="781" t="s">
        <v>2313</v>
      </c>
      <c r="E685" s="2" t="str">
        <f>OBRA!N683</f>
        <v>CUENTA CORRIENTE</v>
      </c>
      <c r="F685" s="18" t="s">
        <v>1427</v>
      </c>
      <c r="G685" s="156" t="s">
        <v>2864</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6437</v>
      </c>
      <c r="M685" s="3" t="s">
        <v>5333</v>
      </c>
      <c r="N685" s="3" t="str">
        <f>OBRA!R683</f>
        <v>MUNICIPIO</v>
      </c>
      <c r="O685" s="505" t="s">
        <v>6770</v>
      </c>
      <c r="P685" s="4">
        <f>OBRA!S683</f>
        <v>161863.23319999999</v>
      </c>
      <c r="Q685" s="1045">
        <f t="shared" si="49"/>
        <v>139537.26999999999</v>
      </c>
      <c r="R685" s="79" t="s">
        <v>67</v>
      </c>
      <c r="S685" s="6">
        <f>OBRA!T683</f>
        <v>45148</v>
      </c>
      <c r="T685" s="1156" t="str">
        <f>OBRA!W683</f>
        <v>-</v>
      </c>
      <c r="U685" s="5">
        <f>OBRA!U683</f>
        <v>45152</v>
      </c>
      <c r="V685" s="11">
        <f>OBRA!V683</f>
        <v>45163</v>
      </c>
      <c r="W685" s="1557">
        <v>0</v>
      </c>
      <c r="X685" s="1119">
        <f>OBRA!AT683+OBRA!AU683</f>
        <v>0</v>
      </c>
      <c r="Y685" s="1040" t="s">
        <v>6790</v>
      </c>
      <c r="Z685" s="146" t="str">
        <f>OBRA!X683</f>
        <v>SOLEC ENERGY, S.A. DE C.V.</v>
      </c>
      <c r="AA685" s="146" t="s">
        <v>5669</v>
      </c>
      <c r="AB685" s="1816" t="s">
        <v>4551</v>
      </c>
      <c r="AC685" s="1817" t="s">
        <v>4552</v>
      </c>
      <c r="AD685" s="1816" t="s">
        <v>4553</v>
      </c>
      <c r="AE685" s="1818" t="str">
        <f>OBRA!Y683</f>
        <v>ARQ. FRANCISCO SALAZAR</v>
      </c>
      <c r="AF685" s="19">
        <v>1</v>
      </c>
      <c r="AG685" s="2" t="s">
        <v>1573</v>
      </c>
      <c r="AH685" s="184">
        <f t="shared" si="50"/>
        <v>161863.23319999999</v>
      </c>
      <c r="AI685" s="511"/>
      <c r="AJ685" s="507"/>
      <c r="AK685" s="1991">
        <v>1</v>
      </c>
      <c r="AL685" s="626"/>
      <c r="AM685" s="1546"/>
      <c r="AN685" s="565"/>
      <c r="AO685" s="565"/>
      <c r="AP685" s="565"/>
      <c r="AQ685" s="507"/>
      <c r="AR685" s="507"/>
      <c r="AS685" s="512"/>
      <c r="AT685" s="507"/>
      <c r="AU685" s="507"/>
      <c r="AV685" s="507"/>
      <c r="AW685" s="507"/>
      <c r="AX685" s="507"/>
      <c r="AY685" s="507"/>
      <c r="AZ685" s="507"/>
      <c r="BA685" s="507"/>
      <c r="BB685" s="507"/>
      <c r="BC685" s="507"/>
      <c r="BD685" s="507"/>
      <c r="BE685" s="507"/>
      <c r="BF685" s="507"/>
      <c r="BG685" s="507"/>
      <c r="BH685" s="507"/>
      <c r="BI685" s="33"/>
      <c r="BJ685" s="12"/>
    </row>
    <row r="686" spans="1:62" ht="125.25" hidden="1" customHeight="1">
      <c r="A686" s="16">
        <f>OBRA!K684</f>
        <v>2023</v>
      </c>
      <c r="B686" s="781" t="s">
        <v>3947</v>
      </c>
      <c r="C686" s="781">
        <f>OBRA!L684</f>
        <v>232024</v>
      </c>
      <c r="D686" s="781" t="s">
        <v>2313</v>
      </c>
      <c r="E686" s="2" t="str">
        <f>OBRA!N684</f>
        <v>CUENTA CORRIENTE</v>
      </c>
      <c r="F686" s="18" t="s">
        <v>1427</v>
      </c>
      <c r="G686" s="156" t="s">
        <v>2864</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6433</v>
      </c>
      <c r="M686" s="3" t="s">
        <v>6762</v>
      </c>
      <c r="N686" s="3" t="str">
        <f>OBRA!R684</f>
        <v>CABECERA MUNICIPAL</v>
      </c>
      <c r="O686" s="505" t="s">
        <v>6770</v>
      </c>
      <c r="P686" s="4">
        <f>OBRA!S684</f>
        <v>34800</v>
      </c>
      <c r="Q686" s="1045">
        <f t="shared" si="49"/>
        <v>30000.000000000004</v>
      </c>
      <c r="R686" s="79" t="s">
        <v>67</v>
      </c>
      <c r="S686" s="6">
        <f>OBRA!T684</f>
        <v>45140</v>
      </c>
      <c r="T686" s="1156" t="str">
        <f>OBRA!W684</f>
        <v>-</v>
      </c>
      <c r="U686" s="5">
        <f>OBRA!U684</f>
        <v>45141</v>
      </c>
      <c r="V686" s="11">
        <f>OBRA!V684</f>
        <v>45143</v>
      </c>
      <c r="W686" s="1557">
        <v>0</v>
      </c>
      <c r="X686" s="1119">
        <f>OBRA!AT684+OBRA!AU684</f>
        <v>0</v>
      </c>
      <c r="Y686" s="1040" t="s">
        <v>6790</v>
      </c>
      <c r="Z686" s="146" t="str">
        <f>OBRA!X684</f>
        <v>ING. LUIS JOEL HUERTA LOMA</v>
      </c>
      <c r="AA686" s="146" t="s">
        <v>5668</v>
      </c>
      <c r="AB686" s="1816" t="str">
        <f t="shared" ref="AB686:AB691" si="51">Z686</f>
        <v>ING. LUIS JOEL HUERTA LOMA</v>
      </c>
      <c r="AC686" s="1817" t="s">
        <v>5615</v>
      </c>
      <c r="AD686" s="1816" t="s">
        <v>5616</v>
      </c>
      <c r="AE686" s="1818" t="str">
        <f>OBRA!Y684</f>
        <v>ARQ. FRANCISCO SALAZAR</v>
      </c>
      <c r="AF686" s="19">
        <v>1</v>
      </c>
      <c r="AG686" s="2" t="s">
        <v>6433</v>
      </c>
      <c r="AH686" s="184">
        <f t="shared" si="50"/>
        <v>34800</v>
      </c>
      <c r="AI686" s="511"/>
      <c r="AJ686" s="511"/>
      <c r="AK686" s="511"/>
      <c r="AL686" s="626"/>
      <c r="AM686" s="1546"/>
      <c r="AN686" s="565"/>
      <c r="AO686" s="565"/>
      <c r="AP686" s="565"/>
      <c r="AQ686" s="507"/>
      <c r="AR686" s="507"/>
      <c r="AS686" s="512"/>
      <c r="AT686" s="507"/>
      <c r="AU686" s="507"/>
      <c r="AV686" s="507"/>
      <c r="AW686" s="507"/>
      <c r="AX686" s="507"/>
      <c r="AY686" s="507"/>
      <c r="AZ686" s="507"/>
      <c r="BA686" s="507"/>
      <c r="BB686" s="507"/>
      <c r="BC686" s="507"/>
      <c r="BD686" s="507"/>
      <c r="BE686" s="507"/>
      <c r="BF686" s="507"/>
      <c r="BG686" s="507"/>
      <c r="BH686" s="507"/>
      <c r="BI686" s="33"/>
      <c r="BJ686" s="12"/>
    </row>
    <row r="687" spans="1:62" ht="136.5" hidden="1" customHeight="1">
      <c r="A687" s="16">
        <f>OBRA!K685</f>
        <v>2023</v>
      </c>
      <c r="B687" s="781" t="s">
        <v>3947</v>
      </c>
      <c r="C687" s="781">
        <f>OBRA!L685</f>
        <v>232025</v>
      </c>
      <c r="D687" s="781" t="s">
        <v>2313</v>
      </c>
      <c r="E687" s="2" t="str">
        <f>OBRA!N685</f>
        <v>CUENTA CORRIENTE</v>
      </c>
      <c r="F687" s="18" t="s">
        <v>1427</v>
      </c>
      <c r="G687" s="156" t="s">
        <v>2864</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6433</v>
      </c>
      <c r="M687" s="3" t="s">
        <v>4809</v>
      </c>
      <c r="N687" s="3" t="str">
        <f>OBRA!R685</f>
        <v>CABECERA MUNICIPAL</v>
      </c>
      <c r="O687" s="505" t="s">
        <v>6770</v>
      </c>
      <c r="P687" s="4">
        <f>OBRA!S685</f>
        <v>54531.6</v>
      </c>
      <c r="Q687" s="1045">
        <f t="shared" si="49"/>
        <v>47010</v>
      </c>
      <c r="R687" s="79" t="s">
        <v>67</v>
      </c>
      <c r="S687" s="6">
        <f>OBRA!T685</f>
        <v>45140</v>
      </c>
      <c r="T687" s="1156" t="str">
        <f>OBRA!W685</f>
        <v>-</v>
      </c>
      <c r="U687" s="5">
        <f>OBRA!U685</f>
        <v>45152</v>
      </c>
      <c r="V687" s="11">
        <f>OBRA!V685</f>
        <v>45155</v>
      </c>
      <c r="W687" s="1557">
        <v>0</v>
      </c>
      <c r="X687" s="1119">
        <f>OBRA!AT685+OBRA!AU685</f>
        <v>0</v>
      </c>
      <c r="Y687" s="1040" t="s">
        <v>6790</v>
      </c>
      <c r="Z687" s="146" t="str">
        <f>OBRA!X685</f>
        <v>ING. LUIS JOEL HUERTA LOMA</v>
      </c>
      <c r="AA687" s="146" t="s">
        <v>5668</v>
      </c>
      <c r="AB687" s="1816" t="str">
        <f t="shared" si="51"/>
        <v>ING. LUIS JOEL HUERTA LOMA</v>
      </c>
      <c r="AC687" s="1817" t="s">
        <v>5615</v>
      </c>
      <c r="AD687" s="1816" t="s">
        <v>5616</v>
      </c>
      <c r="AE687" s="1818" t="str">
        <f>OBRA!Y685</f>
        <v>ARQ. FRANCISCO SALAZAR</v>
      </c>
      <c r="AF687" s="19">
        <v>1</v>
      </c>
      <c r="AG687" s="2" t="s">
        <v>6433</v>
      </c>
      <c r="AH687" s="184">
        <f t="shared" si="50"/>
        <v>54531.6</v>
      </c>
      <c r="AI687" s="511"/>
      <c r="AJ687" s="507"/>
      <c r="AK687" s="1991">
        <v>1</v>
      </c>
      <c r="AL687" s="626"/>
      <c r="AM687" s="1546"/>
      <c r="AN687" s="565"/>
      <c r="AO687" s="565"/>
      <c r="AP687" s="565"/>
      <c r="AQ687" s="507"/>
      <c r="AR687" s="507"/>
      <c r="AS687" s="512"/>
      <c r="AT687" s="507"/>
      <c r="AU687" s="507"/>
      <c r="AV687" s="507"/>
      <c r="AW687" s="507"/>
      <c r="AX687" s="507"/>
      <c r="AY687" s="507"/>
      <c r="AZ687" s="507"/>
      <c r="BA687" s="507"/>
      <c r="BB687" s="507"/>
      <c r="BC687" s="507"/>
      <c r="BD687" s="507"/>
      <c r="BE687" s="507"/>
      <c r="BF687" s="507"/>
      <c r="BG687" s="507"/>
      <c r="BH687" s="507"/>
      <c r="BI687" s="33"/>
      <c r="BJ687" s="12"/>
    </row>
    <row r="688" spans="1:62" ht="125.25" hidden="1" customHeight="1">
      <c r="A688" s="16">
        <f>OBRA!K686</f>
        <v>2023</v>
      </c>
      <c r="B688" s="781" t="s">
        <v>3947</v>
      </c>
      <c r="C688" s="781">
        <f>OBRA!L686</f>
        <v>232026</v>
      </c>
      <c r="D688" s="781" t="s">
        <v>2313</v>
      </c>
      <c r="E688" s="2" t="str">
        <f>OBRA!N686</f>
        <v>CUENTA CORRIENTE</v>
      </c>
      <c r="F688" s="18" t="s">
        <v>1427</v>
      </c>
      <c r="G688" s="156" t="s">
        <v>2864</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6433</v>
      </c>
      <c r="M688" s="3" t="s">
        <v>6762</v>
      </c>
      <c r="N688" s="3" t="str">
        <f>OBRA!R686</f>
        <v>CABECERA MUNICIPAL</v>
      </c>
      <c r="O688" s="505" t="s">
        <v>6770</v>
      </c>
      <c r="P688" s="4">
        <f>OBRA!S686</f>
        <v>34800</v>
      </c>
      <c r="Q688" s="1045">
        <f t="shared" si="49"/>
        <v>30000.000000000004</v>
      </c>
      <c r="R688" s="79" t="s">
        <v>67</v>
      </c>
      <c r="S688" s="6">
        <f>OBRA!T686</f>
        <v>45140</v>
      </c>
      <c r="T688" s="1156" t="str">
        <f>OBRA!W686</f>
        <v>-</v>
      </c>
      <c r="U688" s="5">
        <f>OBRA!U686</f>
        <v>45144</v>
      </c>
      <c r="V688" s="11">
        <f>OBRA!V686</f>
        <v>45146</v>
      </c>
      <c r="W688" s="1557">
        <v>0</v>
      </c>
      <c r="X688" s="1119">
        <f>OBRA!AT686+OBRA!AU686</f>
        <v>0</v>
      </c>
      <c r="Y688" s="1040" t="s">
        <v>6790</v>
      </c>
      <c r="Z688" s="146" t="str">
        <f>OBRA!X686</f>
        <v>ING. LUIS JOEL HUERTA LOMA</v>
      </c>
      <c r="AA688" s="146" t="s">
        <v>5668</v>
      </c>
      <c r="AB688" s="1816" t="str">
        <f t="shared" si="51"/>
        <v>ING. LUIS JOEL HUERTA LOMA</v>
      </c>
      <c r="AC688" s="1817" t="s">
        <v>5615</v>
      </c>
      <c r="AD688" s="1816" t="s">
        <v>5616</v>
      </c>
      <c r="AE688" s="1818" t="str">
        <f>OBRA!Y686</f>
        <v>ARQ. FRANCISCO SALAZAR</v>
      </c>
      <c r="AF688" s="19">
        <v>1</v>
      </c>
      <c r="AG688" s="2" t="s">
        <v>6433</v>
      </c>
      <c r="AH688" s="184">
        <f t="shared" si="50"/>
        <v>34800</v>
      </c>
      <c r="AI688" s="511"/>
      <c r="AJ688" s="511"/>
      <c r="AK688" s="511"/>
      <c r="AL688" s="626"/>
      <c r="AM688" s="1546"/>
      <c r="AN688" s="565"/>
      <c r="AO688" s="565"/>
      <c r="AP688" s="565"/>
      <c r="AQ688" s="507"/>
      <c r="AR688" s="507"/>
      <c r="AS688" s="512"/>
      <c r="AT688" s="507"/>
      <c r="AU688" s="507"/>
      <c r="AV688" s="507"/>
      <c r="AW688" s="507"/>
      <c r="AX688" s="507"/>
      <c r="AY688" s="507"/>
      <c r="AZ688" s="507"/>
      <c r="BA688" s="507"/>
      <c r="BB688" s="507"/>
      <c r="BC688" s="507"/>
      <c r="BD688" s="507"/>
      <c r="BE688" s="507"/>
      <c r="BF688" s="507"/>
      <c r="BG688" s="507"/>
      <c r="BH688" s="507"/>
      <c r="BI688" s="33"/>
      <c r="BJ688" s="12"/>
    </row>
    <row r="689" spans="1:62" ht="106.5" hidden="1" customHeight="1">
      <c r="A689" s="16">
        <f>OBRA!K687</f>
        <v>2023</v>
      </c>
      <c r="B689" s="781" t="s">
        <v>3947</v>
      </c>
      <c r="C689" s="781">
        <f>OBRA!L687</f>
        <v>232027</v>
      </c>
      <c r="D689" s="781" t="s">
        <v>2313</v>
      </c>
      <c r="E689" s="2" t="str">
        <f>OBRA!N687</f>
        <v>CUENTA CORRIENTE</v>
      </c>
      <c r="F689" s="18" t="s">
        <v>1427</v>
      </c>
      <c r="G689" s="156" t="s">
        <v>2864</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6434</v>
      </c>
      <c r="M689" s="3" t="s">
        <v>2720</v>
      </c>
      <c r="N689" s="3" t="str">
        <f>OBRA!R687</f>
        <v>SAN JUAN COSALÁ</v>
      </c>
      <c r="O689" s="505" t="s">
        <v>6770</v>
      </c>
      <c r="P689" s="4">
        <f>OBRA!S687</f>
        <v>3500</v>
      </c>
      <c r="Q689" s="1045">
        <f t="shared" si="49"/>
        <v>3017.2413793103451</v>
      </c>
      <c r="R689" s="79" t="s">
        <v>67</v>
      </c>
      <c r="S689" s="6">
        <f>OBRA!T687</f>
        <v>45140</v>
      </c>
      <c r="T689" s="1156" t="str">
        <f>OBRA!W687</f>
        <v>-</v>
      </c>
      <c r="U689" s="5">
        <f>OBRA!U687</f>
        <v>45142</v>
      </c>
      <c r="V689" s="11">
        <f>OBRA!V687</f>
        <v>45142</v>
      </c>
      <c r="W689" s="1557">
        <v>0</v>
      </c>
      <c r="X689" s="1119">
        <f>OBRA!AT687+OBRA!AU687</f>
        <v>0</v>
      </c>
      <c r="Y689" s="1040" t="s">
        <v>6790</v>
      </c>
      <c r="Z689" s="146" t="str">
        <f>OBRA!X687</f>
        <v>PEDRO MACHUCA SAAVEDRA</v>
      </c>
      <c r="AA689" s="146" t="s">
        <v>5668</v>
      </c>
      <c r="AB689" s="1816" t="str">
        <f t="shared" si="51"/>
        <v>PEDRO MACHUCA SAAVEDRA</v>
      </c>
      <c r="AC689" s="1817" t="s">
        <v>1176</v>
      </c>
      <c r="AD689" s="1816" t="s">
        <v>1176</v>
      </c>
      <c r="AE689" s="1818" t="str">
        <f>OBRA!Y687</f>
        <v>ARQ. FRANCISCO SALAZAR</v>
      </c>
      <c r="AF689" s="19">
        <v>1</v>
      </c>
      <c r="AG689" s="2" t="s">
        <v>6780</v>
      </c>
      <c r="AH689" s="184">
        <f t="shared" si="50"/>
        <v>3500</v>
      </c>
      <c r="AI689" s="511"/>
      <c r="AJ689" s="507"/>
      <c r="AK689" s="1991">
        <v>1</v>
      </c>
      <c r="AL689" s="626"/>
      <c r="AM689" s="1546"/>
      <c r="AN689" s="565"/>
      <c r="AO689" s="565"/>
      <c r="AP689" s="565"/>
      <c r="AQ689" s="507"/>
      <c r="AR689" s="507"/>
      <c r="AS689" s="512"/>
      <c r="AT689" s="507"/>
      <c r="AU689" s="507"/>
      <c r="AV689" s="507"/>
      <c r="AW689" s="507"/>
      <c r="AX689" s="507"/>
      <c r="AY689" s="507"/>
      <c r="AZ689" s="507"/>
      <c r="BA689" s="507"/>
      <c r="BB689" s="507"/>
      <c r="BC689" s="507"/>
      <c r="BD689" s="507"/>
      <c r="BE689" s="507"/>
      <c r="BF689" s="507"/>
      <c r="BG689" s="507"/>
      <c r="BH689" s="507"/>
      <c r="BI689" s="33"/>
      <c r="BJ689" s="12"/>
    </row>
    <row r="690" spans="1:62" ht="128.25" hidden="1" customHeight="1">
      <c r="A690" s="16">
        <f>OBRA!K688</f>
        <v>2023</v>
      </c>
      <c r="B690" s="781" t="s">
        <v>3947</v>
      </c>
      <c r="C690" s="781">
        <f>OBRA!L688</f>
        <v>232028</v>
      </c>
      <c r="D690" s="781" t="s">
        <v>2313</v>
      </c>
      <c r="E690" s="2" t="str">
        <f>OBRA!N688</f>
        <v>CUENTA CORRIENTE</v>
      </c>
      <c r="F690" s="18" t="s">
        <v>1427</v>
      </c>
      <c r="G690" s="156" t="s">
        <v>2864</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6434</v>
      </c>
      <c r="M690" s="3" t="s">
        <v>6763</v>
      </c>
      <c r="N690" s="3" t="str">
        <f>OBRA!R688</f>
        <v>SAN JUAN COSALÁ</v>
      </c>
      <c r="O690" s="505" t="s">
        <v>6770</v>
      </c>
      <c r="P690" s="4">
        <f>OBRA!S688</f>
        <v>3500</v>
      </c>
      <c r="Q690" s="1045">
        <f t="shared" si="49"/>
        <v>3017.2413793103451</v>
      </c>
      <c r="R690" s="79" t="s">
        <v>67</v>
      </c>
      <c r="S690" s="6">
        <f>OBRA!T688</f>
        <v>45140</v>
      </c>
      <c r="T690" s="1156" t="str">
        <f>OBRA!W688</f>
        <v>-</v>
      </c>
      <c r="U690" s="5">
        <f>OBRA!U688</f>
        <v>45143</v>
      </c>
      <c r="V690" s="11">
        <f>OBRA!V688</f>
        <v>45143</v>
      </c>
      <c r="W690" s="1557">
        <v>0</v>
      </c>
      <c r="X690" s="1119">
        <f>OBRA!AT688+OBRA!AU688</f>
        <v>0</v>
      </c>
      <c r="Y690" s="1040" t="s">
        <v>6790</v>
      </c>
      <c r="Z690" s="146" t="str">
        <f>OBRA!X688</f>
        <v>PEDRO MACHUCA SAAVEDRA</v>
      </c>
      <c r="AA690" s="146" t="s">
        <v>5668</v>
      </c>
      <c r="AB690" s="1816" t="str">
        <f t="shared" si="51"/>
        <v>PEDRO MACHUCA SAAVEDRA</v>
      </c>
      <c r="AC690" s="1817" t="s">
        <v>1176</v>
      </c>
      <c r="AD690" s="1816" t="s">
        <v>1176</v>
      </c>
      <c r="AE690" s="1818" t="str">
        <f>OBRA!Y688</f>
        <v>ARQ. FRANCISCO SALAZAR</v>
      </c>
      <c r="AF690" s="19">
        <v>1</v>
      </c>
      <c r="AG690" s="2" t="s">
        <v>1573</v>
      </c>
      <c r="AH690" s="184">
        <f t="shared" si="50"/>
        <v>3500</v>
      </c>
      <c r="AI690" s="511"/>
      <c r="AJ690" s="507"/>
      <c r="AK690" s="1991">
        <v>1</v>
      </c>
      <c r="AL690" s="626"/>
      <c r="AM690" s="1546"/>
      <c r="AN690" s="565"/>
      <c r="AO690" s="565"/>
      <c r="AP690" s="565"/>
      <c r="AQ690" s="507"/>
      <c r="AR690" s="507"/>
      <c r="AS690" s="512"/>
      <c r="AT690" s="507"/>
      <c r="AU690" s="507"/>
      <c r="AV690" s="507"/>
      <c r="AW690" s="507"/>
      <c r="AX690" s="507"/>
      <c r="AY690" s="507"/>
      <c r="AZ690" s="507"/>
      <c r="BA690" s="507"/>
      <c r="BB690" s="507"/>
      <c r="BC690" s="507"/>
      <c r="BD690" s="507"/>
      <c r="BE690" s="507"/>
      <c r="BF690" s="507"/>
      <c r="BG690" s="507"/>
      <c r="BH690" s="507"/>
      <c r="BI690" s="33"/>
      <c r="BJ690" s="12"/>
    </row>
    <row r="691" spans="1:62" ht="103.5" hidden="1" customHeight="1">
      <c r="A691" s="16">
        <f>OBRA!K689</f>
        <v>2023</v>
      </c>
      <c r="B691" s="781" t="s">
        <v>3947</v>
      </c>
      <c r="C691" s="781">
        <f>OBRA!L689</f>
        <v>232029</v>
      </c>
      <c r="D691" s="781" t="s">
        <v>2313</v>
      </c>
      <c r="E691" s="2" t="str">
        <f>OBRA!N689</f>
        <v>CUENTA CORRIENTE</v>
      </c>
      <c r="F691" s="18" t="s">
        <v>1427</v>
      </c>
      <c r="G691" s="156" t="s">
        <v>2864</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6434</v>
      </c>
      <c r="M691" s="3" t="s">
        <v>2557</v>
      </c>
      <c r="N691" s="3" t="str">
        <f>OBRA!R689</f>
        <v>CABECERA MUNICIPAL</v>
      </c>
      <c r="O691" s="505" t="s">
        <v>6770</v>
      </c>
      <c r="P691" s="4">
        <f>OBRA!S689</f>
        <v>3500</v>
      </c>
      <c r="Q691" s="1045">
        <f t="shared" si="49"/>
        <v>3017.2413793103451</v>
      </c>
      <c r="R691" s="79" t="s">
        <v>67</v>
      </c>
      <c r="S691" s="6">
        <f>OBRA!T689</f>
        <v>45140</v>
      </c>
      <c r="T691" s="1156" t="str">
        <f>OBRA!W689</f>
        <v>-</v>
      </c>
      <c r="U691" s="5">
        <f>OBRA!U689</f>
        <v>45145</v>
      </c>
      <c r="V691" s="11">
        <f>OBRA!V689</f>
        <v>45145</v>
      </c>
      <c r="W691" s="1557">
        <v>0</v>
      </c>
      <c r="X691" s="1119">
        <f>OBRA!AT689+OBRA!AU689</f>
        <v>0</v>
      </c>
      <c r="Y691" s="1040" t="s">
        <v>6790</v>
      </c>
      <c r="Z691" s="146" t="str">
        <f>OBRA!X689</f>
        <v>PEDRO MACHUCA SAAVEDRA</v>
      </c>
      <c r="AA691" s="146" t="s">
        <v>5668</v>
      </c>
      <c r="AB691" s="1816" t="str">
        <f t="shared" si="51"/>
        <v>PEDRO MACHUCA SAAVEDRA</v>
      </c>
      <c r="AC691" s="1817" t="s">
        <v>1176</v>
      </c>
      <c r="AD691" s="1816" t="s">
        <v>1176</v>
      </c>
      <c r="AE691" s="1818" t="str">
        <f>OBRA!Y689</f>
        <v>ARQ. FRANCISCO SALAZAR</v>
      </c>
      <c r="AF691" s="19">
        <v>1</v>
      </c>
      <c r="AG691" s="2" t="s">
        <v>1573</v>
      </c>
      <c r="AH691" s="184">
        <f t="shared" si="50"/>
        <v>3500</v>
      </c>
      <c r="AI691" s="511"/>
      <c r="AJ691" s="507"/>
      <c r="AK691" s="1991">
        <v>1</v>
      </c>
      <c r="AL691" s="626"/>
      <c r="AM691" s="1546"/>
      <c r="AN691" s="565"/>
      <c r="AO691" s="565"/>
      <c r="AP691" s="565"/>
      <c r="AQ691" s="507"/>
      <c r="AR691" s="507"/>
      <c r="AS691" s="512"/>
      <c r="AT691" s="507"/>
      <c r="AU691" s="507"/>
      <c r="AV691" s="507"/>
      <c r="AW691" s="507"/>
      <c r="AX691" s="507"/>
      <c r="AY691" s="507"/>
      <c r="AZ691" s="507"/>
      <c r="BA691" s="507"/>
      <c r="BB691" s="507"/>
      <c r="BC691" s="507"/>
      <c r="BD691" s="507"/>
      <c r="BE691" s="507"/>
      <c r="BF691" s="507"/>
      <c r="BG691" s="507"/>
      <c r="BH691" s="507"/>
      <c r="BI691" s="33"/>
      <c r="BJ691" s="12"/>
    </row>
    <row r="692" spans="1:62" ht="125.25" hidden="1" customHeight="1">
      <c r="A692" s="16">
        <f>OBRA!K690</f>
        <v>2023</v>
      </c>
      <c r="B692" s="781" t="s">
        <v>3947</v>
      </c>
      <c r="C692" s="781">
        <f>OBRA!L690</f>
        <v>232030</v>
      </c>
      <c r="D692" s="781" t="s">
        <v>2313</v>
      </c>
      <c r="E692" s="2" t="str">
        <f>OBRA!N690</f>
        <v>CUENTA CORRIENTE</v>
      </c>
      <c r="F692" s="18" t="s">
        <v>1427</v>
      </c>
      <c r="G692" s="156" t="s">
        <v>2864</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6437</v>
      </c>
      <c r="M692" s="3" t="s">
        <v>6764</v>
      </c>
      <c r="N692" s="3" t="str">
        <f>OBRA!R690</f>
        <v>SAN JUAN COSALÁ</v>
      </c>
      <c r="O692" s="505" t="s">
        <v>6770</v>
      </c>
      <c r="P692" s="4">
        <f>OBRA!S690</f>
        <v>50489.60319999999</v>
      </c>
      <c r="Q692" s="1045">
        <f t="shared" ref="Q692:Q723" si="52">P692/1.16</f>
        <v>43525.52</v>
      </c>
      <c r="R692" s="79" t="s">
        <v>67</v>
      </c>
      <c r="S692" s="6">
        <f>OBRA!T690</f>
        <v>45168</v>
      </c>
      <c r="T692" s="1156" t="str">
        <f>OBRA!W690</f>
        <v>-</v>
      </c>
      <c r="U692" s="5">
        <f>OBRA!U690</f>
        <v>45175</v>
      </c>
      <c r="V692" s="11">
        <f>OBRA!V690</f>
        <v>45184</v>
      </c>
      <c r="W692" s="1557">
        <v>0</v>
      </c>
      <c r="X692" s="1119">
        <f>OBRA!AT690+OBRA!AU690</f>
        <v>0</v>
      </c>
      <c r="Y692" s="1040" t="s">
        <v>6790</v>
      </c>
      <c r="Z692" s="146" t="str">
        <f>OBRA!X690</f>
        <v>SOLEC ENERGY, S.A. DE C.V.</v>
      </c>
      <c r="AA692" s="146" t="s">
        <v>5669</v>
      </c>
      <c r="AB692" s="1816" t="s">
        <v>4551</v>
      </c>
      <c r="AC692" s="1817" t="s">
        <v>4552</v>
      </c>
      <c r="AD692" s="1816" t="s">
        <v>4553</v>
      </c>
      <c r="AE692" s="1818" t="str">
        <f>OBRA!Y690</f>
        <v>ARQ. FRANCISCO SALAZAR</v>
      </c>
      <c r="AF692" s="19">
        <v>1</v>
      </c>
      <c r="AG692" s="2" t="s">
        <v>1573</v>
      </c>
      <c r="AH692" s="184">
        <f t="shared" si="50"/>
        <v>50489.60319999999</v>
      </c>
      <c r="AI692" s="511"/>
      <c r="AJ692" s="507"/>
      <c r="AK692" s="1991">
        <v>1</v>
      </c>
      <c r="AL692" s="626"/>
      <c r="AM692" s="1546"/>
      <c r="AN692" s="565"/>
      <c r="AO692" s="565"/>
      <c r="AP692" s="565"/>
      <c r="AQ692" s="507"/>
      <c r="AR692" s="507"/>
      <c r="AS692" s="512"/>
      <c r="AT692" s="507"/>
      <c r="AU692" s="507"/>
      <c r="AV692" s="507"/>
      <c r="AW692" s="507"/>
      <c r="AX692" s="507"/>
      <c r="AY692" s="507"/>
      <c r="AZ692" s="507"/>
      <c r="BA692" s="507"/>
      <c r="BB692" s="507"/>
      <c r="BC692" s="507"/>
      <c r="BD692" s="507"/>
      <c r="BE692" s="507"/>
      <c r="BF692" s="507"/>
      <c r="BG692" s="507"/>
      <c r="BH692" s="507"/>
      <c r="BI692" s="33"/>
      <c r="BJ692" s="12"/>
    </row>
    <row r="693" spans="1:62" ht="108" hidden="1" customHeight="1">
      <c r="A693" s="16">
        <f>OBRA!K691</f>
        <v>2023</v>
      </c>
      <c r="B693" s="781" t="s">
        <v>3947</v>
      </c>
      <c r="C693" s="781">
        <f>OBRA!L691</f>
        <v>232031</v>
      </c>
      <c r="D693" s="781" t="s">
        <v>2313</v>
      </c>
      <c r="E693" s="2" t="str">
        <f>OBRA!N691</f>
        <v>CUENTA CORRIENTE</v>
      </c>
      <c r="F693" s="18" t="s">
        <v>1427</v>
      </c>
      <c r="G693" s="156" t="s">
        <v>2864</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6437</v>
      </c>
      <c r="M693" s="3" t="s">
        <v>6764</v>
      </c>
      <c r="N693" s="3" t="str">
        <f>OBRA!R691</f>
        <v>SAN JUAN COSALÁ</v>
      </c>
      <c r="O693" s="505" t="s">
        <v>6555</v>
      </c>
      <c r="P693" s="4">
        <f>OBRA!S691</f>
        <v>142089.26999999999</v>
      </c>
      <c r="Q693" s="1045">
        <f t="shared" si="52"/>
        <v>122490.75</v>
      </c>
      <c r="R693" s="79" t="s">
        <v>67</v>
      </c>
      <c r="S693" s="6">
        <f>OBRA!T691</f>
        <v>45168</v>
      </c>
      <c r="T693" s="1156" t="str">
        <f>OBRA!W691</f>
        <v>-</v>
      </c>
      <c r="U693" s="5">
        <f>OBRA!U691</f>
        <v>45180</v>
      </c>
      <c r="V693" s="11">
        <f>OBRA!V691</f>
        <v>45197</v>
      </c>
      <c r="W693" s="1557">
        <v>0</v>
      </c>
      <c r="X693" s="1119">
        <f>OBRA!AT691+OBRA!AU691</f>
        <v>0</v>
      </c>
      <c r="Y693" s="1040" t="s">
        <v>6790</v>
      </c>
      <c r="Z693" s="146" t="str">
        <f>OBRA!X691</f>
        <v>SOLEC ENERGY, S.A. DE C.V.</v>
      </c>
      <c r="AA693" s="146" t="s">
        <v>5669</v>
      </c>
      <c r="AB693" s="1816" t="s">
        <v>4551</v>
      </c>
      <c r="AC693" s="1817" t="s">
        <v>4552</v>
      </c>
      <c r="AD693" s="1816" t="s">
        <v>4553</v>
      </c>
      <c r="AE693" s="1818" t="str">
        <f>OBRA!Y691</f>
        <v>ARQ. FRANCISCO SALAZAR</v>
      </c>
      <c r="AF693" s="19">
        <v>1</v>
      </c>
      <c r="AG693" s="2" t="s">
        <v>1573</v>
      </c>
      <c r="AH693" s="184">
        <f t="shared" si="50"/>
        <v>142089.26999999999</v>
      </c>
      <c r="AI693" s="511"/>
      <c r="AJ693" s="507"/>
      <c r="AK693" s="1991">
        <v>1</v>
      </c>
      <c r="AL693" s="626"/>
      <c r="AM693" s="1546"/>
      <c r="AN693" s="565"/>
      <c r="AO693" s="565"/>
      <c r="AP693" s="565"/>
      <c r="AQ693" s="507"/>
      <c r="AR693" s="507"/>
      <c r="AS693" s="512"/>
      <c r="AT693" s="507"/>
      <c r="AU693" s="507"/>
      <c r="AV693" s="507"/>
      <c r="AW693" s="507"/>
      <c r="AX693" s="507"/>
      <c r="AY693" s="507"/>
      <c r="AZ693" s="507"/>
      <c r="BA693" s="507"/>
      <c r="BB693" s="507"/>
      <c r="BC693" s="507"/>
      <c r="BD693" s="507"/>
      <c r="BE693" s="507"/>
      <c r="BF693" s="507"/>
      <c r="BG693" s="507"/>
      <c r="BH693" s="507"/>
      <c r="BI693" s="33"/>
      <c r="BJ693" s="12"/>
    </row>
    <row r="694" spans="1:62" ht="109.5" hidden="1" customHeight="1">
      <c r="A694" s="16">
        <f>OBRA!K692</f>
        <v>2023</v>
      </c>
      <c r="B694" s="781" t="s">
        <v>3947</v>
      </c>
      <c r="C694" s="781">
        <f>OBRA!L692</f>
        <v>232032</v>
      </c>
      <c r="D694" s="781" t="s">
        <v>2313</v>
      </c>
      <c r="E694" s="2" t="str">
        <f>OBRA!N692</f>
        <v>CUENTA CORRIENTE</v>
      </c>
      <c r="F694" s="18" t="s">
        <v>1427</v>
      </c>
      <c r="G694" s="156" t="s">
        <v>2864</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6433</v>
      </c>
      <c r="M694" s="3" t="s">
        <v>6765</v>
      </c>
      <c r="N694" s="3" t="str">
        <f>OBRA!R692</f>
        <v>NEXTIPAC</v>
      </c>
      <c r="O694" s="505" t="s">
        <v>6555</v>
      </c>
      <c r="P694" s="4">
        <f>OBRA!S692</f>
        <v>9860</v>
      </c>
      <c r="Q694" s="1045">
        <f t="shared" si="52"/>
        <v>8500</v>
      </c>
      <c r="R694" s="79" t="s">
        <v>67</v>
      </c>
      <c r="S694" s="6">
        <f>OBRA!T692</f>
        <v>45173</v>
      </c>
      <c r="T694" s="1156" t="str">
        <f>OBRA!W692</f>
        <v>-</v>
      </c>
      <c r="U694" s="5">
        <f>OBRA!U692</f>
        <v>45175</v>
      </c>
      <c r="V694" s="11">
        <f>OBRA!V692</f>
        <v>45177</v>
      </c>
      <c r="W694" s="1557">
        <v>0</v>
      </c>
      <c r="X694" s="1119">
        <f>OBRA!AT692+OBRA!AU692</f>
        <v>0</v>
      </c>
      <c r="Y694" s="1040" t="s">
        <v>6790</v>
      </c>
      <c r="Z694" s="146" t="str">
        <f>OBRA!X692</f>
        <v>LUIS JOEL HUERTA LOMA</v>
      </c>
      <c r="AA694" s="146" t="s">
        <v>5668</v>
      </c>
      <c r="AB694" s="1816" t="str">
        <f>Z694</f>
        <v>LUIS JOEL HUERTA LOMA</v>
      </c>
      <c r="AC694" s="1817" t="s">
        <v>5615</v>
      </c>
      <c r="AD694" s="1816" t="s">
        <v>5616</v>
      </c>
      <c r="AE694" s="1818" t="str">
        <f>OBRA!Y692</f>
        <v>ARQ. FRANCISCO SALAZAR</v>
      </c>
      <c r="AF694" s="19">
        <v>1</v>
      </c>
      <c r="AG694" s="2" t="s">
        <v>1573</v>
      </c>
      <c r="AH694" s="184">
        <f t="shared" si="50"/>
        <v>9860</v>
      </c>
      <c r="AI694" s="511"/>
      <c r="AJ694" s="507"/>
      <c r="AK694" s="1991">
        <v>1</v>
      </c>
      <c r="AL694" s="626"/>
      <c r="AM694" s="1546"/>
      <c r="AN694" s="565"/>
      <c r="AO694" s="565"/>
      <c r="AP694" s="565"/>
      <c r="AQ694" s="507"/>
      <c r="AR694" s="507"/>
      <c r="AS694" s="512"/>
      <c r="AT694" s="507"/>
      <c r="AU694" s="507"/>
      <c r="AV694" s="507"/>
      <c r="AW694" s="507"/>
      <c r="AX694" s="507"/>
      <c r="AY694" s="507"/>
      <c r="AZ694" s="507"/>
      <c r="BA694" s="507"/>
      <c r="BB694" s="507"/>
      <c r="BC694" s="507"/>
      <c r="BD694" s="507"/>
      <c r="BE694" s="507"/>
      <c r="BF694" s="507"/>
      <c r="BG694" s="507"/>
      <c r="BH694" s="507"/>
      <c r="BI694" s="33"/>
      <c r="BJ694" s="12"/>
    </row>
    <row r="695" spans="1:62" ht="204" hidden="1" customHeight="1">
      <c r="A695" s="16">
        <f>OBRA!K693</f>
        <v>2023</v>
      </c>
      <c r="B695" s="781" t="s">
        <v>3947</v>
      </c>
      <c r="C695" s="781">
        <f>OBRA!L693</f>
        <v>232033</v>
      </c>
      <c r="D695" s="781" t="s">
        <v>2313</v>
      </c>
      <c r="E695" s="2" t="str">
        <f>OBRA!N693</f>
        <v>CUENTA CORRIENTE</v>
      </c>
      <c r="F695" s="18" t="s">
        <v>1427</v>
      </c>
      <c r="G695" s="156" t="s">
        <v>2864</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6437</v>
      </c>
      <c r="M695" s="544"/>
      <c r="N695" s="3" t="str">
        <f>OBRA!R693</f>
        <v>EL MOLINO</v>
      </c>
      <c r="O695" s="505" t="s">
        <v>6555</v>
      </c>
      <c r="P695" s="4">
        <f>OBRA!S693</f>
        <v>34800</v>
      </c>
      <c r="Q695" s="1045">
        <f t="shared" si="52"/>
        <v>30000.000000000004</v>
      </c>
      <c r="R695" s="79" t="s">
        <v>67</v>
      </c>
      <c r="S695" s="6">
        <f>OBRA!T693</f>
        <v>45190</v>
      </c>
      <c r="T695" s="1156" t="str">
        <f>OBRA!W693</f>
        <v>-</v>
      </c>
      <c r="U695" s="5">
        <f>OBRA!U693</f>
        <v>45194</v>
      </c>
      <c r="V695" s="11">
        <f>OBRA!V693</f>
        <v>45195</v>
      </c>
      <c r="W695" s="1557">
        <v>0</v>
      </c>
      <c r="X695" s="1119">
        <f>OBRA!AT693+OBRA!AU693</f>
        <v>0</v>
      </c>
      <c r="Y695" s="1040" t="s">
        <v>6790</v>
      </c>
      <c r="Z695" s="146" t="str">
        <f>OBRA!X693</f>
        <v>ECCOC DE GUADALAJARA, S.A. DE C.V.</v>
      </c>
      <c r="AA695" s="146" t="s">
        <v>5669</v>
      </c>
      <c r="AB695" s="1816" t="s">
        <v>4503</v>
      </c>
      <c r="AC695" s="1817" t="s">
        <v>4433</v>
      </c>
      <c r="AD695" s="1816" t="s">
        <v>6784</v>
      </c>
      <c r="AE695" s="1818" t="str">
        <f>OBRA!Y693</f>
        <v>ARQ. FRANCISCO SALAZAR</v>
      </c>
      <c r="AF695" s="19">
        <v>3</v>
      </c>
      <c r="AG695" s="2" t="s">
        <v>1573</v>
      </c>
      <c r="AH695" s="184">
        <f t="shared" si="50"/>
        <v>11600</v>
      </c>
      <c r="AI695" s="511"/>
      <c r="AJ695" s="511"/>
      <c r="AK695" s="511"/>
      <c r="AL695" s="626"/>
      <c r="AM695" s="1546"/>
      <c r="AN695" s="565"/>
      <c r="AO695" s="565"/>
      <c r="AP695" s="565"/>
      <c r="AQ695" s="507"/>
      <c r="AR695" s="507"/>
      <c r="AS695" s="512"/>
      <c r="AT695" s="507"/>
      <c r="AU695" s="507"/>
      <c r="AV695" s="507"/>
      <c r="AW695" s="507"/>
      <c r="AX695" s="507"/>
      <c r="AY695" s="507"/>
      <c r="AZ695" s="507"/>
      <c r="BA695" s="507"/>
      <c r="BB695" s="507"/>
      <c r="BC695" s="507"/>
      <c r="BD695" s="507"/>
      <c r="BE695" s="507"/>
      <c r="BF695" s="507"/>
      <c r="BG695" s="507"/>
      <c r="BH695" s="507"/>
      <c r="BI695" s="33"/>
      <c r="BJ695" s="12"/>
    </row>
    <row r="696" spans="1:62" ht="136.5" hidden="1" customHeight="1">
      <c r="A696" s="16">
        <f>OBRA!K694</f>
        <v>2023</v>
      </c>
      <c r="B696" s="781" t="s">
        <v>3947</v>
      </c>
      <c r="C696" s="781">
        <f>OBRA!L694</f>
        <v>232034</v>
      </c>
      <c r="D696" s="781" t="s">
        <v>2313</v>
      </c>
      <c r="E696" s="2" t="str">
        <f>OBRA!N694</f>
        <v>CUENTA CORRIENTE</v>
      </c>
      <c r="F696" s="18" t="s">
        <v>1427</v>
      </c>
      <c r="G696" s="156" t="s">
        <v>2864</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6433</v>
      </c>
      <c r="M696" s="3" t="s">
        <v>6766</v>
      </c>
      <c r="N696" s="3" t="str">
        <f>OBRA!R694</f>
        <v>CABECERA MUNICIPAL</v>
      </c>
      <c r="O696" s="505" t="s">
        <v>6555</v>
      </c>
      <c r="P696" s="4">
        <f>OBRA!S694</f>
        <v>54287.999999999993</v>
      </c>
      <c r="Q696" s="1045">
        <f t="shared" si="52"/>
        <v>46800</v>
      </c>
      <c r="R696" s="79" t="s">
        <v>67</v>
      </c>
      <c r="S696" s="6">
        <f>OBRA!T694</f>
        <v>45209</v>
      </c>
      <c r="T696" s="1156" t="str">
        <f>OBRA!W694</f>
        <v>-</v>
      </c>
      <c r="U696" s="5">
        <f>OBRA!U694</f>
        <v>45210</v>
      </c>
      <c r="V696" s="11">
        <f>OBRA!V694</f>
        <v>45243</v>
      </c>
      <c r="W696" s="1557">
        <v>0</v>
      </c>
      <c r="X696" s="1119">
        <f>OBRA!AT694+OBRA!AU694</f>
        <v>0</v>
      </c>
      <c r="Y696" s="1040" t="s">
        <v>6790</v>
      </c>
      <c r="Z696" s="146" t="str">
        <f>OBRA!X694</f>
        <v>LUIS JOEL HUERTA LOMA</v>
      </c>
      <c r="AA696" s="146" t="s">
        <v>5668</v>
      </c>
      <c r="AB696" s="1816" t="str">
        <f>Z696</f>
        <v>LUIS JOEL HUERTA LOMA</v>
      </c>
      <c r="AC696" s="1817" t="s">
        <v>5615</v>
      </c>
      <c r="AD696" s="1816" t="s">
        <v>5616</v>
      </c>
      <c r="AE696" s="1818" t="str">
        <f>OBRA!Y694</f>
        <v>ARQ. FRANCISCO SALAZAR</v>
      </c>
      <c r="AF696" s="19">
        <v>1</v>
      </c>
      <c r="AG696" s="2" t="s">
        <v>6433</v>
      </c>
      <c r="AH696" s="184">
        <f t="shared" si="50"/>
        <v>54287.999999999993</v>
      </c>
      <c r="AI696" s="511"/>
      <c r="AJ696" s="511"/>
      <c r="AK696" s="511"/>
      <c r="AL696" s="626"/>
      <c r="AM696" s="1546"/>
      <c r="AN696" s="565"/>
      <c r="AO696" s="565"/>
      <c r="AP696" s="565"/>
      <c r="AQ696" s="507"/>
      <c r="AR696" s="507"/>
      <c r="AS696" s="512"/>
      <c r="AT696" s="507"/>
      <c r="AU696" s="507"/>
      <c r="AV696" s="507"/>
      <c r="AW696" s="507"/>
      <c r="AX696" s="507"/>
      <c r="AY696" s="507"/>
      <c r="AZ696" s="507"/>
      <c r="BA696" s="507"/>
      <c r="BB696" s="507"/>
      <c r="BC696" s="507"/>
      <c r="BD696" s="507"/>
      <c r="BE696" s="507"/>
      <c r="BF696" s="507"/>
      <c r="BG696" s="507"/>
      <c r="BH696" s="507"/>
      <c r="BI696" s="33"/>
      <c r="BJ696" s="12"/>
    </row>
    <row r="697" spans="1:62" ht="118.5" hidden="1" customHeight="1">
      <c r="A697" s="16">
        <f>OBRA!K695</f>
        <v>2023</v>
      </c>
      <c r="B697" s="781" t="s">
        <v>3947</v>
      </c>
      <c r="C697" s="781">
        <f>OBRA!L695</f>
        <v>232035</v>
      </c>
      <c r="D697" s="781" t="s">
        <v>2313</v>
      </c>
      <c r="E697" s="2" t="str">
        <f>OBRA!N695</f>
        <v>CUENTA CORRIENTE</v>
      </c>
      <c r="F697" s="18" t="s">
        <v>1427</v>
      </c>
      <c r="G697" s="156" t="s">
        <v>2864</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6437</v>
      </c>
      <c r="M697" s="544"/>
      <c r="N697" s="3" t="str">
        <f>OBRA!R695</f>
        <v>CHANTEPEC</v>
      </c>
      <c r="O697" s="505" t="s">
        <v>6555</v>
      </c>
      <c r="P697" s="4">
        <f>OBRA!S695</f>
        <v>30376.572</v>
      </c>
      <c r="Q697" s="1045">
        <f t="shared" si="52"/>
        <v>26186.7</v>
      </c>
      <c r="R697" s="79" t="s">
        <v>67</v>
      </c>
      <c r="S697" s="6">
        <f>OBRA!T695</f>
        <v>45233</v>
      </c>
      <c r="T697" s="1156" t="str">
        <f>OBRA!W695</f>
        <v>-</v>
      </c>
      <c r="U697" s="5">
        <f>OBRA!U695</f>
        <v>45237</v>
      </c>
      <c r="V697" s="11">
        <f>OBRA!V695</f>
        <v>45239</v>
      </c>
      <c r="W697" s="1557">
        <v>0</v>
      </c>
      <c r="X697" s="1119">
        <f>OBRA!AT695+OBRA!AU695</f>
        <v>0</v>
      </c>
      <c r="Y697" s="1040" t="s">
        <v>6790</v>
      </c>
      <c r="Z697" s="146" t="str">
        <f>OBRA!X695</f>
        <v>SOLEC ENERGY, S.A. DE C.V.</v>
      </c>
      <c r="AA697" s="146" t="s">
        <v>5669</v>
      </c>
      <c r="AB697" s="1816" t="s">
        <v>4551</v>
      </c>
      <c r="AC697" s="1817" t="s">
        <v>4552</v>
      </c>
      <c r="AD697" s="1816" t="s">
        <v>4553</v>
      </c>
      <c r="AE697" s="1818" t="str">
        <f>OBRA!Y695</f>
        <v>ARQ. FRANCISCO SALAZAR</v>
      </c>
      <c r="AF697" s="19">
        <v>1</v>
      </c>
      <c r="AG697" s="2" t="s">
        <v>1573</v>
      </c>
      <c r="AH697" s="184">
        <f t="shared" si="50"/>
        <v>30376.572</v>
      </c>
      <c r="AI697" s="511"/>
      <c r="AJ697" s="511"/>
      <c r="AK697" s="1991">
        <v>1</v>
      </c>
      <c r="AL697" s="626"/>
      <c r="AM697" s="1546"/>
      <c r="AN697" s="565"/>
      <c r="AO697" s="565"/>
      <c r="AP697" s="565"/>
      <c r="AQ697" s="507"/>
      <c r="AR697" s="507"/>
      <c r="AS697" s="512"/>
      <c r="AT697" s="507"/>
      <c r="AU697" s="507"/>
      <c r="AV697" s="507"/>
      <c r="AW697" s="507"/>
      <c r="AX697" s="507"/>
      <c r="AY697" s="507"/>
      <c r="AZ697" s="507"/>
      <c r="BA697" s="507"/>
      <c r="BB697" s="507"/>
      <c r="BC697" s="507"/>
      <c r="BD697" s="507"/>
      <c r="BE697" s="507"/>
      <c r="BF697" s="507"/>
      <c r="BG697" s="507"/>
      <c r="BH697" s="507"/>
      <c r="BI697" s="33"/>
      <c r="BJ697" s="12"/>
    </row>
    <row r="698" spans="1:62" ht="254.25" hidden="1" customHeight="1">
      <c r="A698" s="16">
        <f>OBRA!K696</f>
        <v>2023</v>
      </c>
      <c r="B698" s="781" t="s">
        <v>3947</v>
      </c>
      <c r="C698" s="781">
        <f>OBRA!L696</f>
        <v>232036</v>
      </c>
      <c r="D698" s="781" t="s">
        <v>2313</v>
      </c>
      <c r="E698" s="2" t="str">
        <f>OBRA!N696</f>
        <v>CUENTA CORRIENTE</v>
      </c>
      <c r="F698" s="18" t="s">
        <v>1427</v>
      </c>
      <c r="G698" s="156" t="s">
        <v>2864</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6433</v>
      </c>
      <c r="M698" s="544"/>
      <c r="N698" s="3" t="str">
        <f>OBRA!R696</f>
        <v>CAB MPAL / CHANTE</v>
      </c>
      <c r="O698" s="505" t="s">
        <v>6555</v>
      </c>
      <c r="P698" s="4">
        <f>OBRA!S696</f>
        <v>56143.999999999993</v>
      </c>
      <c r="Q698" s="1045">
        <f t="shared" si="52"/>
        <v>48400</v>
      </c>
      <c r="R698" s="79" t="s">
        <v>67</v>
      </c>
      <c r="S698" s="6">
        <f>OBRA!T696</f>
        <v>45225</v>
      </c>
      <c r="T698" s="1156" t="str">
        <f>OBRA!W696</f>
        <v>-</v>
      </c>
      <c r="U698" s="5">
        <f>OBRA!U696</f>
        <v>45226</v>
      </c>
      <c r="V698" s="11">
        <f>OBRA!V696</f>
        <v>45229</v>
      </c>
      <c r="W698" s="1557">
        <v>0</v>
      </c>
      <c r="X698" s="1119">
        <f>OBRA!AT696+OBRA!AU696</f>
        <v>0</v>
      </c>
      <c r="Y698" s="1040" t="s">
        <v>6790</v>
      </c>
      <c r="Z698" s="146" t="str">
        <f>OBRA!X696</f>
        <v>LUIS JOEL HUERTA LOMA</v>
      </c>
      <c r="AA698" s="146" t="s">
        <v>5668</v>
      </c>
      <c r="AB698" s="1816" t="str">
        <f>Z698</f>
        <v>LUIS JOEL HUERTA LOMA</v>
      </c>
      <c r="AC698" s="1817" t="s">
        <v>5615</v>
      </c>
      <c r="AD698" s="1816" t="s">
        <v>5616</v>
      </c>
      <c r="AE698" s="1818" t="str">
        <f>OBRA!Y696</f>
        <v>ARQ. FRANCISCO SALAZAR</v>
      </c>
      <c r="AF698" s="19">
        <v>3</v>
      </c>
      <c r="AG698" s="2" t="s">
        <v>6433</v>
      </c>
      <c r="AH698" s="184">
        <f t="shared" si="50"/>
        <v>18714.666666666664</v>
      </c>
      <c r="AI698" s="511"/>
      <c r="AJ698" s="511"/>
      <c r="AK698" s="1991">
        <v>1</v>
      </c>
      <c r="AL698" s="626"/>
      <c r="AM698" s="1546"/>
      <c r="AN698" s="565"/>
      <c r="AO698" s="565"/>
      <c r="AP698" s="565"/>
      <c r="AQ698" s="507"/>
      <c r="AR698" s="507"/>
      <c r="AS698" s="512"/>
      <c r="AT698" s="507"/>
      <c r="AU698" s="507"/>
      <c r="AV698" s="507"/>
      <c r="AW698" s="507"/>
      <c r="AX698" s="507"/>
      <c r="AY698" s="507"/>
      <c r="AZ698" s="507"/>
      <c r="BA698" s="507"/>
      <c r="BB698" s="507"/>
      <c r="BC698" s="507"/>
      <c r="BD698" s="507"/>
      <c r="BE698" s="507"/>
      <c r="BF698" s="507"/>
      <c r="BG698" s="507"/>
      <c r="BH698" s="507"/>
      <c r="BI698" s="33"/>
      <c r="BJ698" s="12"/>
    </row>
    <row r="699" spans="1:62" ht="110.25" hidden="1" customHeight="1">
      <c r="A699" s="16">
        <f>OBRA!K697</f>
        <v>2023</v>
      </c>
      <c r="B699" s="781" t="s">
        <v>3947</v>
      </c>
      <c r="C699" s="781">
        <f>OBRA!L697</f>
        <v>232038</v>
      </c>
      <c r="D699" s="781" t="s">
        <v>2313</v>
      </c>
      <c r="E699" s="2" t="str">
        <f>OBRA!N697</f>
        <v>CUENTA CORRIENTE</v>
      </c>
      <c r="F699" s="18" t="s">
        <v>1427</v>
      </c>
      <c r="G699" s="156" t="s">
        <v>2864</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6438</v>
      </c>
      <c r="M699" s="3" t="s">
        <v>2657</v>
      </c>
      <c r="N699" s="3" t="str">
        <f>OBRA!R697</f>
        <v>CABECERA MUNICIPAL</v>
      </c>
      <c r="O699" s="505" t="s">
        <v>6555</v>
      </c>
      <c r="P699" s="4">
        <f>OBRA!S697</f>
        <v>102831.39</v>
      </c>
      <c r="Q699" s="1045">
        <f t="shared" si="52"/>
        <v>88647.75</v>
      </c>
      <c r="R699" s="79" t="s">
        <v>67</v>
      </c>
      <c r="S699" s="6">
        <f>OBRA!T697</f>
        <v>45264</v>
      </c>
      <c r="T699" s="1156" t="str">
        <f>OBRA!W697</f>
        <v>-</v>
      </c>
      <c r="U699" s="5">
        <f>OBRA!U697</f>
        <v>45266</v>
      </c>
      <c r="V699" s="11">
        <f>OBRA!V697</f>
        <v>45301</v>
      </c>
      <c r="W699" s="1557">
        <v>0</v>
      </c>
      <c r="X699" s="1119">
        <f>OBRA!AT697+OBRA!AU697</f>
        <v>0</v>
      </c>
      <c r="Y699" s="1040" t="s">
        <v>6790</v>
      </c>
      <c r="Z699" s="146" t="str">
        <f>OBRA!X697</f>
        <v>ALEJANDRO RAMÍREZ CORTES</v>
      </c>
      <c r="AA699" s="146" t="s">
        <v>5668</v>
      </c>
      <c r="AB699" s="1816" t="str">
        <f>Z699</f>
        <v>ALEJANDRO RAMÍREZ CORTES</v>
      </c>
      <c r="AC699" s="1817"/>
      <c r="AD699" s="1816"/>
      <c r="AE699" s="1818" t="str">
        <f>OBRA!Y697</f>
        <v>ARQ. FRANCISCO SALAZAR</v>
      </c>
      <c r="AF699" s="19">
        <v>1</v>
      </c>
      <c r="AG699" s="2" t="s">
        <v>1573</v>
      </c>
      <c r="AH699" s="184">
        <f t="shared" si="50"/>
        <v>102831.39</v>
      </c>
      <c r="AI699" s="511"/>
      <c r="AJ699" s="511"/>
      <c r="AK699" s="1991">
        <v>1</v>
      </c>
      <c r="AL699" s="626"/>
      <c r="AM699" s="1546"/>
      <c r="AN699" s="565"/>
      <c r="AO699" s="565"/>
      <c r="AP699" s="565"/>
      <c r="AQ699" s="507"/>
      <c r="AR699" s="507"/>
      <c r="AS699" s="512"/>
      <c r="AT699" s="507"/>
      <c r="AU699" s="507"/>
      <c r="AV699" s="507"/>
      <c r="AW699" s="507"/>
      <c r="AX699" s="507"/>
      <c r="AY699" s="507"/>
      <c r="AZ699" s="507"/>
      <c r="BA699" s="507"/>
      <c r="BB699" s="507"/>
      <c r="BC699" s="507"/>
      <c r="BD699" s="507"/>
      <c r="BE699" s="507"/>
      <c r="BF699" s="507"/>
      <c r="BG699" s="507"/>
      <c r="BH699" s="507"/>
      <c r="BI699" s="33"/>
      <c r="BJ699" s="12"/>
    </row>
    <row r="700" spans="1:62" ht="143.25" hidden="1" customHeight="1">
      <c r="A700" s="16">
        <f>OBRA!K698</f>
        <v>2023</v>
      </c>
      <c r="B700" s="781" t="s">
        <v>3947</v>
      </c>
      <c r="C700" s="781">
        <f>OBRA!L698</f>
        <v>232039</v>
      </c>
      <c r="D700" s="781" t="s">
        <v>2313</v>
      </c>
      <c r="E700" s="2" t="str">
        <f>OBRA!N698</f>
        <v>CUENTA CORRIENTE</v>
      </c>
      <c r="F700" s="18" t="s">
        <v>1427</v>
      </c>
      <c r="G700" s="156" t="s">
        <v>2864</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6436</v>
      </c>
      <c r="M700" s="3" t="s">
        <v>6182</v>
      </c>
      <c r="N700" s="3" t="str">
        <f>OBRA!R698</f>
        <v>CABECERA MUNICIPAL</v>
      </c>
      <c r="O700" s="505" t="s">
        <v>6555</v>
      </c>
      <c r="P700" s="4">
        <f>OBRA!S698</f>
        <v>23200</v>
      </c>
      <c r="Q700" s="1045">
        <f t="shared" si="52"/>
        <v>20000</v>
      </c>
      <c r="R700" s="4" t="s">
        <v>3957</v>
      </c>
      <c r="S700" s="6">
        <f>OBRA!T698</f>
        <v>45265</v>
      </c>
      <c r="T700" s="1156" t="str">
        <f>OBRA!W698</f>
        <v>-</v>
      </c>
      <c r="U700" s="5">
        <f>OBRA!U698</f>
        <v>45266</v>
      </c>
      <c r="V700" s="11">
        <f>OBRA!V698</f>
        <v>45267</v>
      </c>
      <c r="W700" s="1557">
        <v>0</v>
      </c>
      <c r="X700" s="1119">
        <f>OBRA!AT698+OBRA!AU698</f>
        <v>0</v>
      </c>
      <c r="Y700" s="1040" t="s">
        <v>6790</v>
      </c>
      <c r="Z700" s="146" t="str">
        <f>OBRA!X698</f>
        <v xml:space="preserve">CICLOS GIP SC </v>
      </c>
      <c r="AA700" s="146" t="s">
        <v>5669</v>
      </c>
      <c r="AB700" s="1816" t="s">
        <v>4881</v>
      </c>
      <c r="AC700" s="1817" t="s">
        <v>4882</v>
      </c>
      <c r="AD700" s="1816" t="s">
        <v>4883</v>
      </c>
      <c r="AE700" s="1818" t="str">
        <f>OBRA!Y698</f>
        <v>ARQ. FRANCISCO SALAZAR</v>
      </c>
      <c r="AF700" s="19">
        <v>1</v>
      </c>
      <c r="AG700" s="2" t="s">
        <v>6780</v>
      </c>
      <c r="AH700" s="184">
        <f t="shared" si="50"/>
        <v>23200</v>
      </c>
      <c r="AI700" s="511"/>
      <c r="AJ700" s="511"/>
      <c r="AK700" s="1991">
        <v>1</v>
      </c>
      <c r="AL700" s="626"/>
      <c r="AM700" s="1546"/>
      <c r="AN700" s="565"/>
      <c r="AO700" s="565"/>
      <c r="AP700" s="565"/>
      <c r="AQ700" s="507"/>
      <c r="AR700" s="507"/>
      <c r="AS700" s="512"/>
      <c r="AT700" s="507"/>
      <c r="AU700" s="507"/>
      <c r="AV700" s="507"/>
      <c r="AW700" s="507"/>
      <c r="AX700" s="507"/>
      <c r="AY700" s="507"/>
      <c r="AZ700" s="507"/>
      <c r="BA700" s="507"/>
      <c r="BB700" s="507"/>
      <c r="BC700" s="507"/>
      <c r="BD700" s="507"/>
      <c r="BE700" s="507"/>
      <c r="BF700" s="507"/>
      <c r="BG700" s="507"/>
      <c r="BH700" s="507"/>
      <c r="BI700" s="33"/>
      <c r="BJ700" s="12"/>
    </row>
    <row r="701" spans="1:62" ht="137.25" hidden="1" customHeight="1">
      <c r="A701" s="16">
        <f>OBRA!K699</f>
        <v>2023</v>
      </c>
      <c r="B701" s="781" t="s">
        <v>3947</v>
      </c>
      <c r="C701" s="781">
        <f>OBRA!L699</f>
        <v>232040</v>
      </c>
      <c r="D701" s="781" t="s">
        <v>2313</v>
      </c>
      <c r="E701" s="2" t="str">
        <f>OBRA!N699</f>
        <v>CUENTA CORRIENTE</v>
      </c>
      <c r="F701" s="18" t="s">
        <v>1427</v>
      </c>
      <c r="G701" s="156" t="s">
        <v>2864</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6435</v>
      </c>
      <c r="M701" s="3" t="s">
        <v>2657</v>
      </c>
      <c r="N701" s="3" t="str">
        <f>OBRA!R699</f>
        <v>CABECERA MUNICIPAL</v>
      </c>
      <c r="O701" s="505" t="s">
        <v>6555</v>
      </c>
      <c r="P701" s="4">
        <f>OBRA!S699</f>
        <v>45601.919999999998</v>
      </c>
      <c r="Q701" s="1045">
        <f t="shared" si="52"/>
        <v>39312</v>
      </c>
      <c r="R701" s="79" t="s">
        <v>5594</v>
      </c>
      <c r="S701" s="6">
        <f>OBRA!T699</f>
        <v>45267</v>
      </c>
      <c r="T701" s="1156" t="str">
        <f>OBRA!W699</f>
        <v>-</v>
      </c>
      <c r="U701" s="5">
        <f>OBRA!U699</f>
        <v>45271</v>
      </c>
      <c r="V701" s="11">
        <f>OBRA!V699</f>
        <v>45299</v>
      </c>
      <c r="W701" s="1557">
        <f>P701/2</f>
        <v>22800.959999999999</v>
      </c>
      <c r="X701" s="1119">
        <f>OBRA!AT699+OBRA!AU699</f>
        <v>0</v>
      </c>
      <c r="Y701" s="1040" t="s">
        <v>6790</v>
      </c>
      <c r="Z701" s="146" t="str">
        <f>OBRA!X699</f>
        <v>ALEJANDRO RAMÍREZ CORTES</v>
      </c>
      <c r="AA701" s="146" t="s">
        <v>5668</v>
      </c>
      <c r="AB701" s="1816" t="s">
        <v>4877</v>
      </c>
      <c r="AC701" s="1817" t="s">
        <v>4878</v>
      </c>
      <c r="AD701" s="1816" t="s">
        <v>4879</v>
      </c>
      <c r="AE701" s="1818" t="str">
        <f>OBRA!Y699</f>
        <v>ARQ. FRANCISCO SALAZAR</v>
      </c>
      <c r="AF701" s="19">
        <v>1</v>
      </c>
      <c r="AG701" s="2" t="s">
        <v>6780</v>
      </c>
      <c r="AH701" s="184">
        <f t="shared" si="50"/>
        <v>45601.919999999998</v>
      </c>
      <c r="AI701" s="511"/>
      <c r="AJ701" s="511"/>
      <c r="AK701" s="1991">
        <v>1</v>
      </c>
      <c r="AL701" s="626"/>
      <c r="AM701" s="1546"/>
      <c r="AN701" s="565"/>
      <c r="AO701" s="565"/>
      <c r="AP701" s="565"/>
      <c r="AQ701" s="507"/>
      <c r="AR701" s="507"/>
      <c r="AS701" s="512"/>
      <c r="AT701" s="507"/>
      <c r="AU701" s="507"/>
      <c r="AV701" s="507"/>
      <c r="AW701" s="507"/>
      <c r="AX701" s="507"/>
      <c r="AY701" s="507"/>
      <c r="AZ701" s="507"/>
      <c r="BA701" s="507"/>
      <c r="BB701" s="507"/>
      <c r="BC701" s="507"/>
      <c r="BD701" s="507"/>
      <c r="BE701" s="507"/>
      <c r="BF701" s="507"/>
      <c r="BG701" s="507"/>
      <c r="BH701" s="507"/>
      <c r="BI701" s="33"/>
      <c r="BJ701" s="12"/>
    </row>
    <row r="702" spans="1:62" ht="76.5" hidden="1" customHeight="1">
      <c r="A702" s="16">
        <f>OBRA!K700</f>
        <v>2023</v>
      </c>
      <c r="B702" s="781" t="s">
        <v>3947</v>
      </c>
      <c r="C702" s="781">
        <f>OBRA!L700</f>
        <v>232041</v>
      </c>
      <c r="D702" s="781" t="s">
        <v>2313</v>
      </c>
      <c r="E702" s="2" t="str">
        <f>OBRA!N700</f>
        <v>CUENTA CORRIENTE</v>
      </c>
      <c r="F702" s="18" t="s">
        <v>1427</v>
      </c>
      <c r="G702" s="156" t="s">
        <v>2864</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6437</v>
      </c>
      <c r="M702" s="544"/>
      <c r="N702" s="3" t="str">
        <f>OBRA!R700</f>
        <v>CABECERA MUNICIPAL</v>
      </c>
      <c r="O702" s="505" t="s">
        <v>6555</v>
      </c>
      <c r="P702" s="4">
        <f>OBRA!S700</f>
        <v>44196</v>
      </c>
      <c r="Q702" s="1045">
        <f t="shared" si="52"/>
        <v>38100</v>
      </c>
      <c r="R702" s="79" t="s">
        <v>5594</v>
      </c>
      <c r="S702" s="6">
        <f>OBRA!T700</f>
        <v>45275</v>
      </c>
      <c r="T702" s="1156" t="str">
        <f>OBRA!W700</f>
        <v>-</v>
      </c>
      <c r="U702" s="5">
        <f>OBRA!U700</f>
        <v>45280</v>
      </c>
      <c r="V702" s="11">
        <f>OBRA!V700</f>
        <v>45282</v>
      </c>
      <c r="W702" s="1557">
        <v>0</v>
      </c>
      <c r="X702" s="1119">
        <f>OBRA!AT700+OBRA!AU700</f>
        <v>0</v>
      </c>
      <c r="Y702" s="1040" t="s">
        <v>6790</v>
      </c>
      <c r="Z702" s="146" t="str">
        <f>OBRA!X700</f>
        <v>MARCO ANTONIO PAREDES RODRÍGUEZ</v>
      </c>
      <c r="AA702" s="146" t="s">
        <v>5668</v>
      </c>
      <c r="AB702" s="1816" t="s">
        <v>3745</v>
      </c>
      <c r="AC702" s="146" t="s">
        <v>4295</v>
      </c>
      <c r="AD702" s="148" t="s">
        <v>6571</v>
      </c>
      <c r="AE702" s="1818" t="str">
        <f>OBRA!Y700</f>
        <v>ARQ. FRANCISCO SALAZAR</v>
      </c>
      <c r="AF702" s="19">
        <v>1</v>
      </c>
      <c r="AG702" s="2" t="s">
        <v>1573</v>
      </c>
      <c r="AH702" s="184">
        <f t="shared" si="50"/>
        <v>44196</v>
      </c>
      <c r="AI702" s="511"/>
      <c r="AJ702" s="511"/>
      <c r="AK702" s="1991">
        <v>1</v>
      </c>
      <c r="AL702" s="626"/>
      <c r="AM702" s="1546"/>
      <c r="AN702" s="565"/>
      <c r="AO702" s="565"/>
      <c r="AP702" s="565"/>
      <c r="AQ702" s="507"/>
      <c r="AR702" s="507"/>
      <c r="AS702" s="512"/>
      <c r="AT702" s="507"/>
      <c r="AU702" s="507"/>
      <c r="AV702" s="507"/>
      <c r="AW702" s="507"/>
      <c r="AX702" s="507"/>
      <c r="AY702" s="507"/>
      <c r="AZ702" s="507"/>
      <c r="BA702" s="507"/>
      <c r="BB702" s="507"/>
      <c r="BC702" s="507"/>
      <c r="BD702" s="507"/>
      <c r="BE702" s="507"/>
      <c r="BF702" s="507"/>
      <c r="BG702" s="507"/>
      <c r="BH702" s="507"/>
      <c r="BI702" s="33"/>
      <c r="BJ702" s="12"/>
    </row>
    <row r="703" spans="1:62" ht="93.75" hidden="1" customHeight="1">
      <c r="A703" s="16">
        <f>OBRA!K701</f>
        <v>2023</v>
      </c>
      <c r="B703" s="781" t="s">
        <v>3947</v>
      </c>
      <c r="C703" s="781">
        <f>OBRA!L701</f>
        <v>233001</v>
      </c>
      <c r="D703" s="781" t="s">
        <v>2313</v>
      </c>
      <c r="E703" s="2" t="str">
        <f>OBRA!N701</f>
        <v>CUENTA CORRIENTE</v>
      </c>
      <c r="F703" s="18" t="s">
        <v>1427</v>
      </c>
      <c r="G703" s="156" t="s">
        <v>2864</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6442</v>
      </c>
      <c r="M703" s="3" t="s">
        <v>67</v>
      </c>
      <c r="N703" s="3" t="str">
        <f>OBRA!R701</f>
        <v>MUNICIPIO</v>
      </c>
      <c r="O703" s="505" t="s">
        <v>4887</v>
      </c>
      <c r="P703" s="4">
        <f>OBRA!S701</f>
        <v>56839.999999999993</v>
      </c>
      <c r="Q703" s="1045">
        <f t="shared" si="52"/>
        <v>49000</v>
      </c>
      <c r="R703" s="79" t="s">
        <v>5594</v>
      </c>
      <c r="S703" s="6">
        <f>OBRA!T701</f>
        <v>44928</v>
      </c>
      <c r="T703" s="1156" t="str">
        <f>OBRA!W701</f>
        <v>-</v>
      </c>
      <c r="U703" s="5">
        <f>OBRA!U701</f>
        <v>44928</v>
      </c>
      <c r="V703" s="11">
        <f>OBRA!V701</f>
        <v>44957</v>
      </c>
      <c r="W703" s="1557">
        <v>0</v>
      </c>
      <c r="X703" s="1119">
        <f>OBRA!AT701+OBRA!AU701</f>
        <v>0</v>
      </c>
      <c r="Y703" s="1040" t="s">
        <v>6791</v>
      </c>
      <c r="Z703" s="146" t="str">
        <f>OBRA!X701</f>
        <v>URBANIZADORA Y PAVIMENTADORA MONLE S.A. DE C.V.</v>
      </c>
      <c r="AA703" s="146" t="s">
        <v>5669</v>
      </c>
      <c r="AB703" s="1816" t="s">
        <v>5610</v>
      </c>
      <c r="AC703" s="1817" t="s">
        <v>4404</v>
      </c>
      <c r="AD703" s="1816" t="s">
        <v>5611</v>
      </c>
      <c r="AE703" s="1818" t="str">
        <f>OBRA!Y701</f>
        <v>C. DANIEL RODRIGUEZ VALENZUELA</v>
      </c>
      <c r="AF703" s="19">
        <v>1</v>
      </c>
      <c r="AG703" s="1990" t="s">
        <v>6778</v>
      </c>
      <c r="AH703" s="184">
        <f t="shared" si="50"/>
        <v>56839.999999999993</v>
      </c>
      <c r="AI703" s="511"/>
      <c r="AJ703" s="507"/>
      <c r="AK703" s="1991">
        <v>1</v>
      </c>
      <c r="AL703" s="626"/>
      <c r="AM703" s="1546"/>
      <c r="AN703" s="565"/>
      <c r="AO703" s="565"/>
      <c r="AP703" s="565"/>
      <c r="AQ703" s="507"/>
      <c r="AR703" s="507"/>
      <c r="AS703" s="512"/>
      <c r="AT703" s="507"/>
      <c r="AU703" s="507"/>
      <c r="AV703" s="507"/>
      <c r="AW703" s="507"/>
      <c r="AX703" s="507"/>
      <c r="AY703" s="507"/>
      <c r="AZ703" s="507"/>
      <c r="BA703" s="507"/>
      <c r="BB703" s="507"/>
      <c r="BC703" s="507"/>
      <c r="BD703" s="507"/>
      <c r="BE703" s="507"/>
      <c r="BF703" s="507"/>
      <c r="BG703" s="507"/>
      <c r="BH703" s="507"/>
      <c r="BI703" s="33"/>
      <c r="BJ703" s="12"/>
    </row>
    <row r="704" spans="1:62" ht="108" hidden="1" customHeight="1">
      <c r="A704" s="16">
        <f>OBRA!K702</f>
        <v>2023</v>
      </c>
      <c r="B704" s="781" t="s">
        <v>3947</v>
      </c>
      <c r="C704" s="781">
        <f>OBRA!L702</f>
        <v>233001.1</v>
      </c>
      <c r="D704" s="781" t="s">
        <v>2313</v>
      </c>
      <c r="E704" s="2" t="str">
        <f>OBRA!N702</f>
        <v>CUENTA CORRIENTE</v>
      </c>
      <c r="F704" s="18" t="s">
        <v>1427</v>
      </c>
      <c r="G704" s="156" t="s">
        <v>2864</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6443</v>
      </c>
      <c r="M704" s="3" t="s">
        <v>67</v>
      </c>
      <c r="N704" s="3" t="str">
        <f>OBRA!R702</f>
        <v>MUNICIPIO</v>
      </c>
      <c r="O704" s="505" t="s">
        <v>4887</v>
      </c>
      <c r="P704" s="4">
        <f>OBRA!S702</f>
        <v>3248</v>
      </c>
      <c r="Q704" s="1045">
        <f t="shared" si="52"/>
        <v>2800</v>
      </c>
      <c r="R704" s="79" t="s">
        <v>5594</v>
      </c>
      <c r="S704" s="6">
        <f>OBRA!T702</f>
        <v>44929</v>
      </c>
      <c r="T704" s="1156" t="str">
        <f>OBRA!W702</f>
        <v>-</v>
      </c>
      <c r="U704" s="5">
        <f>OBRA!U702</f>
        <v>44929</v>
      </c>
      <c r="V704" s="11">
        <f>OBRA!V702</f>
        <v>44985</v>
      </c>
      <c r="W704" s="1557">
        <v>0</v>
      </c>
      <c r="X704" s="1119">
        <f>OBRA!AT702+OBRA!AU702</f>
        <v>0</v>
      </c>
      <c r="Y704" s="1040" t="s">
        <v>6791</v>
      </c>
      <c r="Z704" s="146" t="str">
        <f>OBRA!X702</f>
        <v>BACHMEIER S.A. DE C.V.</v>
      </c>
      <c r="AA704" s="146" t="s">
        <v>5669</v>
      </c>
      <c r="AB704" s="1816" t="s">
        <v>5610</v>
      </c>
      <c r="AC704" s="1817" t="s">
        <v>4404</v>
      </c>
      <c r="AD704" s="1816" t="s">
        <v>5611</v>
      </c>
      <c r="AE704" s="1818" t="str">
        <f>OBRA!Y702</f>
        <v>ING. LUIS RIGOBERTO OLMEDO NAVARRO</v>
      </c>
      <c r="AF704" s="19">
        <v>1</v>
      </c>
      <c r="AG704" s="1990" t="s">
        <v>6778</v>
      </c>
      <c r="AH704" s="184">
        <f t="shared" si="50"/>
        <v>3248</v>
      </c>
      <c r="AI704" s="511"/>
      <c r="AJ704" s="507"/>
      <c r="AK704" s="1991">
        <v>1</v>
      </c>
      <c r="AL704" s="626"/>
      <c r="AM704" s="1546"/>
      <c r="AN704" s="565"/>
      <c r="AO704" s="565"/>
      <c r="AP704" s="565"/>
      <c r="AQ704" s="507"/>
      <c r="AR704" s="507"/>
      <c r="AS704" s="512"/>
      <c r="AT704" s="507"/>
      <c r="AU704" s="507"/>
      <c r="AV704" s="507"/>
      <c r="AW704" s="507"/>
      <c r="AX704" s="507"/>
      <c r="AY704" s="507"/>
      <c r="AZ704" s="507"/>
      <c r="BA704" s="507"/>
      <c r="BB704" s="507"/>
      <c r="BC704" s="507"/>
      <c r="BD704" s="507"/>
      <c r="BE704" s="507"/>
      <c r="BF704" s="507"/>
      <c r="BG704" s="507"/>
      <c r="BH704" s="507"/>
      <c r="BI704" s="33"/>
      <c r="BJ704" s="12"/>
    </row>
    <row r="705" spans="1:62" ht="106.5" hidden="1" customHeight="1">
      <c r="A705" s="16">
        <f>OBRA!K703</f>
        <v>2023</v>
      </c>
      <c r="B705" s="781" t="s">
        <v>3947</v>
      </c>
      <c r="C705" s="781">
        <f>OBRA!L703</f>
        <v>233002</v>
      </c>
      <c r="D705" s="781" t="s">
        <v>2313</v>
      </c>
      <c r="E705" s="2" t="str">
        <f>OBRA!N703</f>
        <v>CUENTA CORRIENTE</v>
      </c>
      <c r="F705" s="18" t="s">
        <v>1427</v>
      </c>
      <c r="G705" s="156" t="s">
        <v>2864</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6443</v>
      </c>
      <c r="M705" s="3" t="s">
        <v>67</v>
      </c>
      <c r="N705" s="3" t="str">
        <f>OBRA!R703</f>
        <v>MUNICIPIO</v>
      </c>
      <c r="O705" s="505" t="s">
        <v>4887</v>
      </c>
      <c r="P705" s="4">
        <f>OBRA!S703</f>
        <v>28999.999999999996</v>
      </c>
      <c r="Q705" s="1045">
        <f t="shared" si="52"/>
        <v>25000</v>
      </c>
      <c r="R705" s="79" t="s">
        <v>2297</v>
      </c>
      <c r="S705" s="6">
        <f>OBRA!T703</f>
        <v>45005</v>
      </c>
      <c r="T705" s="1156" t="str">
        <f>OBRA!W703</f>
        <v>-</v>
      </c>
      <c r="U705" s="5">
        <f>OBRA!U703</f>
        <v>45007</v>
      </c>
      <c r="V705" s="11">
        <f>OBRA!V703</f>
        <v>45038</v>
      </c>
      <c r="W705" s="1557">
        <v>0</v>
      </c>
      <c r="X705" s="1119">
        <f>OBRA!AT703+OBRA!AU703</f>
        <v>0</v>
      </c>
      <c r="Y705" s="1040" t="s">
        <v>6791</v>
      </c>
      <c r="Z705" s="146" t="str">
        <f>OBRA!X703</f>
        <v>ALSERCON SA DE CV</v>
      </c>
      <c r="AA705" s="146" t="s">
        <v>5669</v>
      </c>
      <c r="AB705" s="1816" t="s">
        <v>5610</v>
      </c>
      <c r="AC705" s="1817" t="s">
        <v>4404</v>
      </c>
      <c r="AD705" s="1816" t="s">
        <v>5611</v>
      </c>
      <c r="AE705" s="1818" t="str">
        <f>OBRA!Y703</f>
        <v>C. DANIEL RODRIGUEZ VALENZUELA</v>
      </c>
      <c r="AF705" s="19">
        <v>1</v>
      </c>
      <c r="AG705" s="1990" t="s">
        <v>6778</v>
      </c>
      <c r="AH705" s="184">
        <f t="shared" si="50"/>
        <v>28999.999999999996</v>
      </c>
      <c r="AI705" s="511"/>
      <c r="AJ705" s="507"/>
      <c r="AK705" s="1991">
        <v>1</v>
      </c>
      <c r="AL705" s="626"/>
      <c r="AM705" s="1546"/>
      <c r="AN705" s="565"/>
      <c r="AO705" s="565"/>
      <c r="AP705" s="565"/>
      <c r="AQ705" s="507"/>
      <c r="AR705" s="507"/>
      <c r="AS705" s="512"/>
      <c r="AT705" s="507"/>
      <c r="AU705" s="507"/>
      <c r="AV705" s="507"/>
      <c r="AW705" s="507"/>
      <c r="AX705" s="507"/>
      <c r="AY705" s="507"/>
      <c r="AZ705" s="507"/>
      <c r="BA705" s="507"/>
      <c r="BB705" s="507"/>
      <c r="BC705" s="507"/>
      <c r="BD705" s="507"/>
      <c r="BE705" s="507"/>
      <c r="BF705" s="507"/>
      <c r="BG705" s="507"/>
      <c r="BH705" s="507"/>
      <c r="BI705" s="33"/>
      <c r="BJ705" s="12"/>
    </row>
    <row r="706" spans="1:62" ht="92.25" hidden="1" customHeight="1">
      <c r="A706" s="16">
        <f>OBRA!K704</f>
        <v>2023</v>
      </c>
      <c r="B706" s="781" t="s">
        <v>3947</v>
      </c>
      <c r="C706" s="781">
        <f>OBRA!L704</f>
        <v>233003</v>
      </c>
      <c r="D706" s="781" t="s">
        <v>2313</v>
      </c>
      <c r="E706" s="2" t="str">
        <f>OBRA!N704</f>
        <v>CUENTA CORRIENTE</v>
      </c>
      <c r="F706" s="18" t="s">
        <v>1427</v>
      </c>
      <c r="G706" s="156" t="s">
        <v>2864</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6442</v>
      </c>
      <c r="M706" s="3" t="s">
        <v>67</v>
      </c>
      <c r="N706" s="3" t="str">
        <f>OBRA!R704</f>
        <v>MUNICIPIO</v>
      </c>
      <c r="O706" s="505" t="s">
        <v>4887</v>
      </c>
      <c r="P706" s="4">
        <f>OBRA!S704</f>
        <v>59681.999999999993</v>
      </c>
      <c r="Q706" s="1045">
        <f t="shared" si="52"/>
        <v>51450</v>
      </c>
      <c r="R706" s="79" t="s">
        <v>2297</v>
      </c>
      <c r="S706" s="6">
        <f>OBRA!T704</f>
        <v>44956</v>
      </c>
      <c r="T706" s="1156" t="str">
        <f>OBRA!W704</f>
        <v>-</v>
      </c>
      <c r="U706" s="5">
        <f>OBRA!U704</f>
        <v>44958</v>
      </c>
      <c r="V706" s="11">
        <f>OBRA!V704</f>
        <v>44985</v>
      </c>
      <c r="W706" s="1557">
        <v>0</v>
      </c>
      <c r="X706" s="1119">
        <f>OBRA!AT704+OBRA!AU704</f>
        <v>0</v>
      </c>
      <c r="Y706" s="1040" t="s">
        <v>6791</v>
      </c>
      <c r="Z706" s="146" t="str">
        <f>OBRA!X704</f>
        <v>URBANIZADORA Y PAVIMENTADORA MONLE S.A. DE C.V.</v>
      </c>
      <c r="AA706" s="146" t="s">
        <v>5669</v>
      </c>
      <c r="AB706" s="1816" t="s">
        <v>5610</v>
      </c>
      <c r="AC706" s="1817" t="s">
        <v>4404</v>
      </c>
      <c r="AD706" s="1816" t="s">
        <v>5611</v>
      </c>
      <c r="AE706" s="1818" t="str">
        <f>OBRA!Y704</f>
        <v>C. DANIEL RODRIGUEZ VALENZUELA</v>
      </c>
      <c r="AF706" s="19">
        <v>1</v>
      </c>
      <c r="AG706" s="1990" t="s">
        <v>6778</v>
      </c>
      <c r="AH706" s="184">
        <f t="shared" si="50"/>
        <v>59681.999999999993</v>
      </c>
      <c r="AI706" s="511"/>
      <c r="AJ706" s="507"/>
      <c r="AK706" s="1991">
        <v>1</v>
      </c>
      <c r="AL706" s="626"/>
      <c r="AM706" s="1546"/>
      <c r="AN706" s="565"/>
      <c r="AO706" s="565"/>
      <c r="AP706" s="565"/>
      <c r="AQ706" s="507"/>
      <c r="AR706" s="507"/>
      <c r="AS706" s="512"/>
      <c r="AT706" s="507"/>
      <c r="AU706" s="507"/>
      <c r="AV706" s="507"/>
      <c r="AW706" s="507"/>
      <c r="AX706" s="507"/>
      <c r="AY706" s="507"/>
      <c r="AZ706" s="507"/>
      <c r="BA706" s="507"/>
      <c r="BB706" s="507"/>
      <c r="BC706" s="507"/>
      <c r="BD706" s="507"/>
      <c r="BE706" s="507"/>
      <c r="BF706" s="507"/>
      <c r="BG706" s="507"/>
      <c r="BH706" s="507"/>
      <c r="BI706" s="33"/>
      <c r="BJ706" s="12"/>
    </row>
    <row r="707" spans="1:62" ht="96.75" hidden="1" customHeight="1">
      <c r="A707" s="16">
        <f>OBRA!K705</f>
        <v>2023</v>
      </c>
      <c r="B707" s="781" t="s">
        <v>3947</v>
      </c>
      <c r="C707" s="781">
        <f>OBRA!L705</f>
        <v>233004</v>
      </c>
      <c r="D707" s="781" t="s">
        <v>2313</v>
      </c>
      <c r="E707" s="2" t="str">
        <f>OBRA!N705</f>
        <v>CUENTA CORRIENTE</v>
      </c>
      <c r="F707" s="18" t="s">
        <v>1427</v>
      </c>
      <c r="G707" s="156" t="s">
        <v>2864</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6442</v>
      </c>
      <c r="M707" s="3" t="s">
        <v>6767</v>
      </c>
      <c r="N707" s="3" t="str">
        <f>OBRA!R705</f>
        <v>POTRERILLOS</v>
      </c>
      <c r="O707" s="505" t="s">
        <v>4887</v>
      </c>
      <c r="P707" s="4">
        <f>OBRA!S705</f>
        <v>638</v>
      </c>
      <c r="Q707" s="1045">
        <f t="shared" si="52"/>
        <v>550</v>
      </c>
      <c r="R707" s="79" t="s">
        <v>2297</v>
      </c>
      <c r="S707" s="6">
        <f>OBRA!T705</f>
        <v>44981</v>
      </c>
      <c r="T707" s="1156" t="str">
        <f>OBRA!W705</f>
        <v>-</v>
      </c>
      <c r="U707" s="5">
        <f>OBRA!U705</f>
        <v>44985</v>
      </c>
      <c r="V707" s="11">
        <f>OBRA!V705</f>
        <v>44989</v>
      </c>
      <c r="W707" s="1557">
        <v>0</v>
      </c>
      <c r="X707" s="1119">
        <f>OBRA!AT705+OBRA!AU705</f>
        <v>0</v>
      </c>
      <c r="Y707" s="1040" t="s">
        <v>6791</v>
      </c>
      <c r="Z707" s="146" t="str">
        <f>OBRA!X705</f>
        <v xml:space="preserve">DORIA &amp; SAMPIER CONSTRUCTORA, S.A. DE C.V. </v>
      </c>
      <c r="AA707" s="146" t="s">
        <v>5669</v>
      </c>
      <c r="AB707" s="1816" t="s">
        <v>5610</v>
      </c>
      <c r="AC707" s="1817" t="s">
        <v>4404</v>
      </c>
      <c r="AD707" s="1816" t="s">
        <v>5611</v>
      </c>
      <c r="AE707" s="1818" t="str">
        <f>OBRA!Y705</f>
        <v>C. DANIEL RODRIGUEZ VALENZUELA</v>
      </c>
      <c r="AF707" s="19">
        <v>1</v>
      </c>
      <c r="AG707" s="1990" t="s">
        <v>6778</v>
      </c>
      <c r="AH707" s="184">
        <f t="shared" si="50"/>
        <v>638</v>
      </c>
      <c r="AI707" s="511"/>
      <c r="AJ707" s="507"/>
      <c r="AK707" s="1991">
        <v>1</v>
      </c>
      <c r="AL707" s="626"/>
      <c r="AM707" s="1546"/>
      <c r="AN707" s="565"/>
      <c r="AO707" s="565"/>
      <c r="AP707" s="565"/>
      <c r="AQ707" s="507"/>
      <c r="AR707" s="507"/>
      <c r="AS707" s="512"/>
      <c r="AT707" s="507"/>
      <c r="AU707" s="507"/>
      <c r="AV707" s="507"/>
      <c r="AW707" s="507"/>
      <c r="AX707" s="507"/>
      <c r="AY707" s="507"/>
      <c r="AZ707" s="507"/>
      <c r="BA707" s="507"/>
      <c r="BB707" s="507"/>
      <c r="BC707" s="507"/>
      <c r="BD707" s="507"/>
      <c r="BE707" s="507"/>
      <c r="BF707" s="507"/>
      <c r="BG707" s="507"/>
      <c r="BH707" s="507"/>
      <c r="BI707" s="33"/>
      <c r="BJ707" s="12"/>
    </row>
    <row r="708" spans="1:62" ht="69.75" hidden="1" customHeight="1">
      <c r="A708" s="16">
        <f>OBRA!K706</f>
        <v>2023</v>
      </c>
      <c r="B708" s="781" t="s">
        <v>3947</v>
      </c>
      <c r="C708" s="781">
        <f>OBRA!L706</f>
        <v>233005</v>
      </c>
      <c r="D708" s="781" t="s">
        <v>2313</v>
      </c>
      <c r="E708" s="2" t="str">
        <f>OBRA!N706</f>
        <v>CUENTA CORRIENTE</v>
      </c>
      <c r="F708" s="18" t="s">
        <v>1427</v>
      </c>
      <c r="G708" s="156" t="s">
        <v>2864</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6439</v>
      </c>
      <c r="M708" s="3" t="s">
        <v>67</v>
      </c>
      <c r="N708" s="3" t="str">
        <f>OBRA!R706</f>
        <v>MUNICIPIO</v>
      </c>
      <c r="O708" s="505" t="s">
        <v>4887</v>
      </c>
      <c r="P708" s="4">
        <f>OBRA!S706</f>
        <v>28999.999999999996</v>
      </c>
      <c r="Q708" s="1045">
        <f t="shared" si="52"/>
        <v>25000</v>
      </c>
      <c r="R708" s="79" t="s">
        <v>2297</v>
      </c>
      <c r="S708" s="6">
        <f>OBRA!T706</f>
        <v>45037</v>
      </c>
      <c r="T708" s="1156" t="str">
        <f>OBRA!W706</f>
        <v>-</v>
      </c>
      <c r="U708" s="5">
        <f>OBRA!U706</f>
        <v>45039</v>
      </c>
      <c r="V708" s="11">
        <f>OBRA!V706</f>
        <v>45069</v>
      </c>
      <c r="W708" s="1557">
        <v>0</v>
      </c>
      <c r="X708" s="1119">
        <f>OBRA!AT706+OBRA!AU706</f>
        <v>0</v>
      </c>
      <c r="Y708" s="1040" t="s">
        <v>6791</v>
      </c>
      <c r="Z708" s="146" t="str">
        <f>OBRA!X706</f>
        <v>ALSERCON SA DE CV</v>
      </c>
      <c r="AA708" s="146"/>
      <c r="AB708" s="1816" t="s">
        <v>5610</v>
      </c>
      <c r="AC708" s="1817" t="s">
        <v>4404</v>
      </c>
      <c r="AD708" s="1816" t="s">
        <v>5611</v>
      </c>
      <c r="AE708" s="1818" t="str">
        <f>OBRA!Y706</f>
        <v>C. DANIEL RODRIGUEZ VALENZUELA</v>
      </c>
      <c r="AF708" s="19">
        <v>1</v>
      </c>
      <c r="AG708" s="1990" t="s">
        <v>6778</v>
      </c>
      <c r="AH708" s="184">
        <f t="shared" si="50"/>
        <v>28999.999999999996</v>
      </c>
      <c r="AI708" s="511"/>
      <c r="AJ708" s="507"/>
      <c r="AK708" s="1991">
        <v>1</v>
      </c>
      <c r="AL708" s="626"/>
      <c r="AM708" s="1546"/>
      <c r="AN708" s="565"/>
      <c r="AO708" s="565"/>
      <c r="AP708" s="565"/>
      <c r="AQ708" s="507"/>
      <c r="AR708" s="507"/>
      <c r="AS708" s="512"/>
      <c r="AT708" s="507"/>
      <c r="AU708" s="507"/>
      <c r="AV708" s="507"/>
      <c r="AW708" s="507"/>
      <c r="AX708" s="507"/>
      <c r="AY708" s="507"/>
      <c r="AZ708" s="507"/>
      <c r="BA708" s="507"/>
      <c r="BB708" s="507"/>
      <c r="BC708" s="507"/>
      <c r="BD708" s="507"/>
      <c r="BE708" s="507"/>
      <c r="BF708" s="507"/>
      <c r="BG708" s="507"/>
      <c r="BH708" s="507"/>
      <c r="BI708" s="33"/>
      <c r="BJ708" s="12"/>
    </row>
    <row r="709" spans="1:62" ht="86.25" hidden="1" customHeight="1">
      <c r="A709" s="16">
        <f>OBRA!K707</f>
        <v>2023</v>
      </c>
      <c r="B709" s="781" t="s">
        <v>3947</v>
      </c>
      <c r="C709" s="781">
        <f>OBRA!L707</f>
        <v>233006</v>
      </c>
      <c r="D709" s="781" t="s">
        <v>2313</v>
      </c>
      <c r="E709" s="2" t="str">
        <f>OBRA!N707</f>
        <v>CUENTA CORRIENTE</v>
      </c>
      <c r="F709" s="18" t="s">
        <v>1427</v>
      </c>
      <c r="G709" s="156" t="s">
        <v>2864</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6442</v>
      </c>
      <c r="M709" s="3" t="s">
        <v>67</v>
      </c>
      <c r="N709" s="3" t="str">
        <f>OBRA!R707</f>
        <v>MUNICIPIO</v>
      </c>
      <c r="O709" s="505" t="s">
        <v>4887</v>
      </c>
      <c r="P709" s="4">
        <f>OBRA!S707</f>
        <v>59681.999999999993</v>
      </c>
      <c r="Q709" s="1045">
        <f t="shared" si="52"/>
        <v>51450</v>
      </c>
      <c r="R709" s="79" t="s">
        <v>2297</v>
      </c>
      <c r="S709" s="6">
        <f>OBRA!T707</f>
        <v>45015</v>
      </c>
      <c r="T709" s="1156" t="str">
        <f>OBRA!W707</f>
        <v>-</v>
      </c>
      <c r="U709" s="5">
        <f>OBRA!U707</f>
        <v>45017</v>
      </c>
      <c r="V709" s="11">
        <f>OBRA!V707</f>
        <v>45046</v>
      </c>
      <c r="W709" s="1557">
        <v>0</v>
      </c>
      <c r="X709" s="1119">
        <f>OBRA!AT707+OBRA!AU707</f>
        <v>0</v>
      </c>
      <c r="Y709" s="1040" t="s">
        <v>6791</v>
      </c>
      <c r="Z709" s="146" t="str">
        <f>OBRA!X707</f>
        <v>URBANIZADORA Y PAVIMENTADORA MONLE S.A. DE C.V.</v>
      </c>
      <c r="AA709" s="146" t="s">
        <v>5669</v>
      </c>
      <c r="AB709" s="1816" t="s">
        <v>5610</v>
      </c>
      <c r="AC709" s="1817" t="s">
        <v>4404</v>
      </c>
      <c r="AD709" s="1816" t="s">
        <v>5611</v>
      </c>
      <c r="AE709" s="1818" t="str">
        <f>OBRA!Y707</f>
        <v>C. DANIEL RODRIGUEZ VALENZUELA</v>
      </c>
      <c r="AF709" s="19">
        <v>1</v>
      </c>
      <c r="AG709" s="1990" t="s">
        <v>6778</v>
      </c>
      <c r="AH709" s="184">
        <f t="shared" si="50"/>
        <v>59681.999999999993</v>
      </c>
      <c r="AI709" s="511"/>
      <c r="AJ709" s="507"/>
      <c r="AK709" s="1991">
        <v>1</v>
      </c>
      <c r="AL709" s="626"/>
      <c r="AM709" s="1546"/>
      <c r="AN709" s="565"/>
      <c r="AO709" s="565"/>
      <c r="AP709" s="565"/>
      <c r="AQ709" s="507"/>
      <c r="AR709" s="507"/>
      <c r="AS709" s="512"/>
      <c r="AT709" s="507"/>
      <c r="AU709" s="507"/>
      <c r="AV709" s="507"/>
      <c r="AW709" s="507"/>
      <c r="AX709" s="507"/>
      <c r="AY709" s="507"/>
      <c r="AZ709" s="507"/>
      <c r="BA709" s="507"/>
      <c r="BB709" s="507"/>
      <c r="BC709" s="507"/>
      <c r="BD709" s="507"/>
      <c r="BE709" s="507"/>
      <c r="BF709" s="507"/>
      <c r="BG709" s="507"/>
      <c r="BH709" s="507"/>
      <c r="BI709" s="33"/>
      <c r="BJ709" s="12"/>
    </row>
    <row r="710" spans="1:62" ht="81" hidden="1" customHeight="1">
      <c r="A710" s="16">
        <f>OBRA!K708</f>
        <v>2023</v>
      </c>
      <c r="B710" s="781" t="s">
        <v>3947</v>
      </c>
      <c r="C710" s="781">
        <f>OBRA!L708</f>
        <v>233006.1</v>
      </c>
      <c r="D710" s="781" t="s">
        <v>2313</v>
      </c>
      <c r="E710" s="2" t="str">
        <f>OBRA!N708</f>
        <v>CUENTA CORRIENTE</v>
      </c>
      <c r="F710" s="18" t="s">
        <v>1427</v>
      </c>
      <c r="G710" s="156" t="s">
        <v>2864</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6440</v>
      </c>
      <c r="M710" s="3" t="s">
        <v>67</v>
      </c>
      <c r="N710" s="3" t="str">
        <f>OBRA!R708</f>
        <v>MUNICIPIO</v>
      </c>
      <c r="O710" s="505" t="s">
        <v>4887</v>
      </c>
      <c r="P710" s="4">
        <f>OBRA!S708</f>
        <v>4750.0027999999993</v>
      </c>
      <c r="Q710" s="1045">
        <f t="shared" si="52"/>
        <v>4094.8299999999995</v>
      </c>
      <c r="R710" s="79" t="s">
        <v>2297</v>
      </c>
      <c r="S710" s="6">
        <f>OBRA!T708</f>
        <v>45033</v>
      </c>
      <c r="T710" s="1156" t="str">
        <f>OBRA!W708</f>
        <v>-</v>
      </c>
      <c r="U710" s="5">
        <f>OBRA!U708</f>
        <v>45033</v>
      </c>
      <c r="V710" s="11">
        <f>OBRA!V708</f>
        <v>45094</v>
      </c>
      <c r="W710" s="1557">
        <v>0</v>
      </c>
      <c r="X710" s="1119">
        <f>OBRA!AT708+OBRA!AU708</f>
        <v>0</v>
      </c>
      <c r="Y710" s="1040" t="s">
        <v>6791</v>
      </c>
      <c r="Z710" s="146" t="str">
        <f>OBRA!X708</f>
        <v>CONSTRUCTORES BACHMEIER S.A. DE C.V.</v>
      </c>
      <c r="AA710" s="146" t="s">
        <v>5669</v>
      </c>
      <c r="AB710" s="1816" t="s">
        <v>5610</v>
      </c>
      <c r="AC710" s="1817" t="s">
        <v>4404</v>
      </c>
      <c r="AD710" s="1816" t="s">
        <v>5611</v>
      </c>
      <c r="AE710" s="1818" t="str">
        <f>OBRA!Y708</f>
        <v>ING. LUIS RIGOBERTO OLMEDO NAVARRO</v>
      </c>
      <c r="AF710" s="19">
        <v>1</v>
      </c>
      <c r="AG710" s="1990" t="s">
        <v>6778</v>
      </c>
      <c r="AH710" s="184">
        <f t="shared" si="50"/>
        <v>4750.0027999999993</v>
      </c>
      <c r="AI710" s="511"/>
      <c r="AJ710" s="507"/>
      <c r="AK710" s="1991">
        <v>1</v>
      </c>
      <c r="AL710" s="626"/>
      <c r="AM710" s="1546"/>
      <c r="AN710" s="565"/>
      <c r="AO710" s="565"/>
      <c r="AP710" s="565"/>
      <c r="AQ710" s="507"/>
      <c r="AR710" s="507"/>
      <c r="AS710" s="512"/>
      <c r="AT710" s="507"/>
      <c r="AU710" s="507"/>
      <c r="AV710" s="507"/>
      <c r="AW710" s="507"/>
      <c r="AX710" s="507"/>
      <c r="AY710" s="507"/>
      <c r="AZ710" s="507"/>
      <c r="BA710" s="507"/>
      <c r="BB710" s="507"/>
      <c r="BC710" s="507"/>
      <c r="BD710" s="507"/>
      <c r="BE710" s="507"/>
      <c r="BF710" s="507"/>
      <c r="BG710" s="507"/>
      <c r="BH710" s="507"/>
      <c r="BI710" s="33"/>
      <c r="BJ710" s="12"/>
    </row>
    <row r="711" spans="1:62" ht="82.5" hidden="1" customHeight="1">
      <c r="A711" s="16">
        <f>OBRA!K709</f>
        <v>2023</v>
      </c>
      <c r="B711" s="781" t="s">
        <v>3947</v>
      </c>
      <c r="C711" s="781">
        <f>OBRA!L709</f>
        <v>233006.2</v>
      </c>
      <c r="D711" s="781" t="s">
        <v>2313</v>
      </c>
      <c r="E711" s="2" t="str">
        <f>OBRA!N709</f>
        <v>CUENTA CORRIENTE</v>
      </c>
      <c r="F711" s="18" t="s">
        <v>1427</v>
      </c>
      <c r="G711" s="156" t="s">
        <v>2864</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6440</v>
      </c>
      <c r="M711" s="3" t="s">
        <v>67</v>
      </c>
      <c r="N711" s="3" t="str">
        <f>OBRA!R709</f>
        <v>MUNICIPIO</v>
      </c>
      <c r="O711" s="505" t="s">
        <v>4887</v>
      </c>
      <c r="P711" s="4">
        <f>OBRA!S709</f>
        <v>1899.9987999999998</v>
      </c>
      <c r="Q711" s="1045">
        <f t="shared" si="52"/>
        <v>1637.93</v>
      </c>
      <c r="R711" s="79" t="s">
        <v>3957</v>
      </c>
      <c r="S711" s="6">
        <f>OBRA!T709</f>
        <v>45033</v>
      </c>
      <c r="T711" s="1156" t="str">
        <f>OBRA!W709</f>
        <v>-</v>
      </c>
      <c r="U711" s="5">
        <f>OBRA!U709</f>
        <v>45033</v>
      </c>
      <c r="V711" s="11">
        <f>OBRA!V709</f>
        <v>45094</v>
      </c>
      <c r="W711" s="1557">
        <v>0</v>
      </c>
      <c r="X711" s="1119">
        <f>OBRA!AT709+OBRA!AU709</f>
        <v>0</v>
      </c>
      <c r="Y711" s="1040" t="s">
        <v>6791</v>
      </c>
      <c r="Z711" s="146" t="str">
        <f>OBRA!X709</f>
        <v>CONSTRUCTORES BACHMEIER S.A. DE C.V.</v>
      </c>
      <c r="AA711" s="146" t="s">
        <v>5669</v>
      </c>
      <c r="AB711" s="1816" t="s">
        <v>4881</v>
      </c>
      <c r="AC711" s="1817" t="s">
        <v>4882</v>
      </c>
      <c r="AD711" s="1816" t="s">
        <v>4883</v>
      </c>
      <c r="AE711" s="1818" t="str">
        <f>OBRA!Y709</f>
        <v>ING. LUIS RIGOBERTO OLMEDO NAVARRO</v>
      </c>
      <c r="AF711" s="19">
        <v>1</v>
      </c>
      <c r="AG711" s="1990" t="s">
        <v>6778</v>
      </c>
      <c r="AH711" s="184">
        <f t="shared" si="50"/>
        <v>1899.9987999999998</v>
      </c>
      <c r="AI711" s="511"/>
      <c r="AJ711" s="507"/>
      <c r="AK711" s="1991">
        <v>1</v>
      </c>
      <c r="AL711" s="626"/>
      <c r="AM711" s="1546"/>
      <c r="AN711" s="565"/>
      <c r="AO711" s="565"/>
      <c r="AP711" s="565"/>
      <c r="AQ711" s="507"/>
      <c r="AR711" s="507"/>
      <c r="AS711" s="512"/>
      <c r="AT711" s="507"/>
      <c r="AU711" s="507"/>
      <c r="AV711" s="507"/>
      <c r="AW711" s="507"/>
      <c r="AX711" s="507"/>
      <c r="AY711" s="507"/>
      <c r="AZ711" s="507"/>
      <c r="BA711" s="507"/>
      <c r="BB711" s="507"/>
      <c r="BC711" s="507"/>
      <c r="BD711" s="507"/>
      <c r="BE711" s="507"/>
      <c r="BF711" s="507"/>
      <c r="BG711" s="507"/>
      <c r="BH711" s="507"/>
      <c r="BI711" s="33"/>
      <c r="BJ711" s="12"/>
    </row>
    <row r="712" spans="1:62" ht="95.25" hidden="1" customHeight="1">
      <c r="A712" s="16">
        <f>OBRA!K710</f>
        <v>2023</v>
      </c>
      <c r="B712" s="781" t="s">
        <v>3947</v>
      </c>
      <c r="C712" s="781">
        <f>OBRA!L710</f>
        <v>233007</v>
      </c>
      <c r="D712" s="781" t="s">
        <v>2313</v>
      </c>
      <c r="E712" s="2" t="str">
        <f>OBRA!N710</f>
        <v>CUENTA CORRIENTE</v>
      </c>
      <c r="F712" s="18" t="s">
        <v>1427</v>
      </c>
      <c r="G712" s="156" t="s">
        <v>2864</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6443</v>
      </c>
      <c r="M712" s="3" t="s">
        <v>67</v>
      </c>
      <c r="N712" s="3" t="str">
        <f>OBRA!R710</f>
        <v>MUNICIPIO</v>
      </c>
      <c r="O712" s="505" t="s">
        <v>4887</v>
      </c>
      <c r="P712" s="4">
        <f>OBRA!S710</f>
        <v>5220</v>
      </c>
      <c r="Q712" s="1045">
        <f t="shared" si="52"/>
        <v>4500</v>
      </c>
      <c r="R712" s="79" t="s">
        <v>5594</v>
      </c>
      <c r="S712" s="6">
        <f>OBRA!T710</f>
        <v>45034</v>
      </c>
      <c r="T712" s="1156" t="str">
        <f>OBRA!W710</f>
        <v>-</v>
      </c>
      <c r="U712" s="5">
        <f>OBRA!U710</f>
        <v>45036</v>
      </c>
      <c r="V712" s="11">
        <f>OBRA!V710</f>
        <v>45066</v>
      </c>
      <c r="W712" s="1557">
        <v>0</v>
      </c>
      <c r="X712" s="1119">
        <f>OBRA!AT710+OBRA!AU710</f>
        <v>0</v>
      </c>
      <c r="Y712" s="1040" t="s">
        <v>6791</v>
      </c>
      <c r="Z712" s="146" t="str">
        <f>OBRA!X710</f>
        <v xml:space="preserve">DORIA &amp; SAMPIER CONSTRUCTORA, S.A. DE C.V. </v>
      </c>
      <c r="AA712" s="146" t="s">
        <v>5669</v>
      </c>
      <c r="AB712" s="1816" t="s">
        <v>5612</v>
      </c>
      <c r="AC712" s="1817" t="s">
        <v>5613</v>
      </c>
      <c r="AD712" s="1816" t="s">
        <v>5614</v>
      </c>
      <c r="AE712" s="1818" t="str">
        <f>OBRA!Y710</f>
        <v>C. DANIEL RODRIGUEZ VALENZUELA</v>
      </c>
      <c r="AF712" s="19">
        <v>1</v>
      </c>
      <c r="AG712" s="1990" t="s">
        <v>6778</v>
      </c>
      <c r="AH712" s="184">
        <f t="shared" si="50"/>
        <v>5220</v>
      </c>
      <c r="AI712" s="511"/>
      <c r="AJ712" s="507"/>
      <c r="AK712" s="1991">
        <v>1</v>
      </c>
      <c r="AL712" s="626"/>
      <c r="AM712" s="1546"/>
      <c r="AN712" s="565"/>
      <c r="AO712" s="565"/>
      <c r="AP712" s="565"/>
      <c r="AQ712" s="507"/>
      <c r="AR712" s="507"/>
      <c r="AS712" s="512"/>
      <c r="AT712" s="507"/>
      <c r="AU712" s="507"/>
      <c r="AV712" s="507"/>
      <c r="AW712" s="507"/>
      <c r="AX712" s="507"/>
      <c r="AY712" s="507"/>
      <c r="AZ712" s="507"/>
      <c r="BA712" s="507"/>
      <c r="BB712" s="507"/>
      <c r="BC712" s="507"/>
      <c r="BD712" s="507"/>
      <c r="BE712" s="507"/>
      <c r="BF712" s="507"/>
      <c r="BG712" s="507"/>
      <c r="BH712" s="507"/>
      <c r="BI712" s="33"/>
      <c r="BJ712" s="12"/>
    </row>
    <row r="713" spans="1:62" ht="110.25" hidden="1" customHeight="1">
      <c r="A713" s="16">
        <f>OBRA!K711</f>
        <v>2023</v>
      </c>
      <c r="B713" s="781" t="s">
        <v>3947</v>
      </c>
      <c r="C713" s="781">
        <f>OBRA!L711</f>
        <v>233008</v>
      </c>
      <c r="D713" s="781" t="s">
        <v>2313</v>
      </c>
      <c r="E713" s="2" t="str">
        <f>OBRA!N711</f>
        <v>CUENTA CORRIENTE</v>
      </c>
      <c r="F713" s="18" t="s">
        <v>1427</v>
      </c>
      <c r="G713" s="156" t="s">
        <v>2864</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6443</v>
      </c>
      <c r="M713" s="3" t="s">
        <v>2657</v>
      </c>
      <c r="N713" s="3" t="str">
        <f>OBRA!R711</f>
        <v>CABECERA MUNICIPAL</v>
      </c>
      <c r="O713" s="505" t="s">
        <v>4887</v>
      </c>
      <c r="P713" s="4">
        <f>OBRA!S711</f>
        <v>5220</v>
      </c>
      <c r="Q713" s="1045">
        <f t="shared" si="52"/>
        <v>4500</v>
      </c>
      <c r="R713" s="79" t="s">
        <v>2297</v>
      </c>
      <c r="S713" s="6">
        <f>OBRA!T711</f>
        <v>45034</v>
      </c>
      <c r="T713" s="1156" t="str">
        <f>OBRA!W711</f>
        <v>-</v>
      </c>
      <c r="U713" s="5">
        <f>OBRA!U711</f>
        <v>45036</v>
      </c>
      <c r="V713" s="11">
        <f>OBRA!V711</f>
        <v>45066</v>
      </c>
      <c r="W713" s="1557">
        <v>0</v>
      </c>
      <c r="X713" s="1119">
        <f>OBRA!AT711+OBRA!AU711</f>
        <v>0</v>
      </c>
      <c r="Y713" s="1040" t="s">
        <v>6791</v>
      </c>
      <c r="Z713" s="146" t="str">
        <f>OBRA!X711</f>
        <v xml:space="preserve">DORIA &amp; SAMPIER CONSTRUCTORA, S.A. DE C.V. </v>
      </c>
      <c r="AA713" s="146" t="s">
        <v>5669</v>
      </c>
      <c r="AB713" s="1816" t="s">
        <v>5612</v>
      </c>
      <c r="AC713" s="1817" t="s">
        <v>5613</v>
      </c>
      <c r="AD713" s="1816" t="s">
        <v>5614</v>
      </c>
      <c r="AE713" s="1818" t="str">
        <f>OBRA!Y711</f>
        <v>C. DANIEL RODRIGUEZ VALENZUELA</v>
      </c>
      <c r="AF713" s="19">
        <v>1</v>
      </c>
      <c r="AG713" s="1990" t="s">
        <v>6778</v>
      </c>
      <c r="AH713" s="184">
        <f t="shared" si="50"/>
        <v>5220</v>
      </c>
      <c r="AI713" s="511"/>
      <c r="AJ713" s="507"/>
      <c r="AK713" s="1991">
        <v>1</v>
      </c>
      <c r="AL713" s="626"/>
      <c r="AM713" s="1546"/>
      <c r="AN713" s="565"/>
      <c r="AO713" s="565"/>
      <c r="AP713" s="565"/>
      <c r="AQ713" s="507"/>
      <c r="AR713" s="507"/>
      <c r="AS713" s="512"/>
      <c r="AT713" s="507"/>
      <c r="AU713" s="507"/>
      <c r="AV713" s="507"/>
      <c r="AW713" s="507"/>
      <c r="AX713" s="507"/>
      <c r="AY713" s="507"/>
      <c r="AZ713" s="507"/>
      <c r="BA713" s="507"/>
      <c r="BB713" s="507"/>
      <c r="BC713" s="507"/>
      <c r="BD713" s="507"/>
      <c r="BE713" s="507"/>
      <c r="BF713" s="507"/>
      <c r="BG713" s="507"/>
      <c r="BH713" s="507"/>
      <c r="BI713" s="33"/>
      <c r="BJ713" s="12"/>
    </row>
    <row r="714" spans="1:62" ht="116.25" hidden="1" customHeight="1">
      <c r="A714" s="16">
        <f>OBRA!K712</f>
        <v>2023</v>
      </c>
      <c r="B714" s="781" t="s">
        <v>3947</v>
      </c>
      <c r="C714" s="781">
        <f>OBRA!L712</f>
        <v>233009</v>
      </c>
      <c r="D714" s="781" t="s">
        <v>2313</v>
      </c>
      <c r="E714" s="2" t="str">
        <f>OBRA!N712</f>
        <v>CUENTA CORRIENTE</v>
      </c>
      <c r="F714" s="18" t="s">
        <v>1427</v>
      </c>
      <c r="G714" s="156" t="s">
        <v>2864</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6443</v>
      </c>
      <c r="M714" s="3" t="s">
        <v>6768</v>
      </c>
      <c r="N714" s="3" t="str">
        <f>OBRA!R712</f>
        <v>CABECERA MUNICIPAL</v>
      </c>
      <c r="O714" s="505" t="s">
        <v>4887</v>
      </c>
      <c r="P714" s="4">
        <f>OBRA!S712</f>
        <v>696</v>
      </c>
      <c r="Q714" s="1045">
        <f t="shared" si="52"/>
        <v>600</v>
      </c>
      <c r="R714" s="79" t="s">
        <v>3957</v>
      </c>
      <c r="S714" s="6">
        <f>OBRA!T712</f>
        <v>44972</v>
      </c>
      <c r="T714" s="1156" t="str">
        <f>OBRA!W712</f>
        <v>-</v>
      </c>
      <c r="U714" s="5">
        <f>OBRA!U712</f>
        <v>44974</v>
      </c>
      <c r="V714" s="11">
        <f>OBRA!V712</f>
        <v>44976</v>
      </c>
      <c r="W714" s="1557">
        <v>0</v>
      </c>
      <c r="X714" s="1119">
        <f>OBRA!AT712+OBRA!AU712</f>
        <v>0</v>
      </c>
      <c r="Y714" s="1040" t="s">
        <v>6791</v>
      </c>
      <c r="Z714" s="146" t="str">
        <f>OBRA!X712</f>
        <v xml:space="preserve">DORIA &amp; SAMPIER CONSTRUCTORA, S.A. DE C.V. </v>
      </c>
      <c r="AA714" s="146" t="s">
        <v>5669</v>
      </c>
      <c r="AB714" s="1816" t="s">
        <v>4881</v>
      </c>
      <c r="AC714" s="1817" t="s">
        <v>4882</v>
      </c>
      <c r="AD714" s="1816" t="s">
        <v>4883</v>
      </c>
      <c r="AE714" s="1818" t="str">
        <f>OBRA!Y712</f>
        <v>C. DANIEL RODRIGUEZ VALENZUELA</v>
      </c>
      <c r="AF714" s="19">
        <v>1</v>
      </c>
      <c r="AG714" s="1990" t="s">
        <v>6778</v>
      </c>
      <c r="AH714" s="184">
        <f t="shared" si="50"/>
        <v>696</v>
      </c>
      <c r="AI714" s="511"/>
      <c r="AJ714" s="507"/>
      <c r="AK714" s="1991">
        <v>1</v>
      </c>
      <c r="AL714" s="626"/>
      <c r="AM714" s="1546"/>
      <c r="AN714" s="565"/>
      <c r="AO714" s="565"/>
      <c r="AP714" s="565"/>
      <c r="AQ714" s="507"/>
      <c r="AR714" s="507"/>
      <c r="AS714" s="512"/>
      <c r="AT714" s="507"/>
      <c r="AU714" s="507"/>
      <c r="AV714" s="507"/>
      <c r="AW714" s="507"/>
      <c r="AX714" s="507"/>
      <c r="AY714" s="507"/>
      <c r="AZ714" s="507"/>
      <c r="BA714" s="507"/>
      <c r="BB714" s="507"/>
      <c r="BC714" s="507"/>
      <c r="BD714" s="507"/>
      <c r="BE714" s="507"/>
      <c r="BF714" s="507"/>
      <c r="BG714" s="507"/>
      <c r="BH714" s="507"/>
      <c r="BI714" s="33"/>
      <c r="BJ714" s="12"/>
    </row>
    <row r="715" spans="1:62" ht="124.5" hidden="1" customHeight="1">
      <c r="A715" s="16">
        <f>OBRA!K713</f>
        <v>2023</v>
      </c>
      <c r="B715" s="781" t="s">
        <v>3947</v>
      </c>
      <c r="C715" s="781">
        <f>OBRA!L713</f>
        <v>233010</v>
      </c>
      <c r="D715" s="781" t="s">
        <v>2313</v>
      </c>
      <c r="E715" s="2" t="str">
        <f>OBRA!N713</f>
        <v>CUENTA CORRIENTE</v>
      </c>
      <c r="F715" s="18" t="s">
        <v>1427</v>
      </c>
      <c r="G715" s="156" t="s">
        <v>2864</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6442</v>
      </c>
      <c r="M715" s="3" t="s">
        <v>6768</v>
      </c>
      <c r="N715" s="3" t="str">
        <f>OBRA!R713</f>
        <v>CABECERA MUNICIPAL</v>
      </c>
      <c r="O715" s="505" t="s">
        <v>4887</v>
      </c>
      <c r="P715" s="4">
        <f>OBRA!S713</f>
        <v>754</v>
      </c>
      <c r="Q715" s="1045">
        <f t="shared" si="52"/>
        <v>650</v>
      </c>
      <c r="R715" s="79" t="s">
        <v>2297</v>
      </c>
      <c r="S715" s="6">
        <f>OBRA!T713</f>
        <v>44966</v>
      </c>
      <c r="T715" s="1156" t="str">
        <f>OBRA!W713</f>
        <v>-</v>
      </c>
      <c r="U715" s="5">
        <f>OBRA!U713</f>
        <v>44970</v>
      </c>
      <c r="V715" s="11">
        <f>OBRA!V713</f>
        <v>44976</v>
      </c>
      <c r="W715" s="1557">
        <v>0</v>
      </c>
      <c r="X715" s="1119">
        <f>OBRA!AT713+OBRA!AU713</f>
        <v>0</v>
      </c>
      <c r="Y715" s="1040" t="s">
        <v>6791</v>
      </c>
      <c r="Z715" s="146" t="str">
        <f>OBRA!X713</f>
        <v xml:space="preserve">DORIA &amp; SAMPIER CONSTRUCTORA, S.A. DE C.V. </v>
      </c>
      <c r="AA715" s="146" t="s">
        <v>5669</v>
      </c>
      <c r="AB715" s="1816" t="s">
        <v>5610</v>
      </c>
      <c r="AC715" s="1817" t="s">
        <v>4404</v>
      </c>
      <c r="AD715" s="1816" t="s">
        <v>5611</v>
      </c>
      <c r="AE715" s="1818" t="str">
        <f>OBRA!Y713</f>
        <v>C. DANIEL RODRIGUEZ VALENZUELA</v>
      </c>
      <c r="AF715" s="19">
        <v>1</v>
      </c>
      <c r="AG715" s="1990" t="s">
        <v>6778</v>
      </c>
      <c r="AH715" s="184">
        <f t="shared" si="50"/>
        <v>754</v>
      </c>
      <c r="AI715" s="511"/>
      <c r="AJ715" s="507"/>
      <c r="AK715" s="1991">
        <v>1</v>
      </c>
      <c r="AL715" s="626"/>
      <c r="AM715" s="1546"/>
      <c r="AN715" s="565"/>
      <c r="AO715" s="565"/>
      <c r="AP715" s="565"/>
      <c r="AQ715" s="507"/>
      <c r="AR715" s="507"/>
      <c r="AS715" s="512"/>
      <c r="AT715" s="507"/>
      <c r="AU715" s="507"/>
      <c r="AV715" s="507"/>
      <c r="AW715" s="507"/>
      <c r="AX715" s="507"/>
      <c r="AY715" s="507"/>
      <c r="AZ715" s="507"/>
      <c r="BA715" s="507"/>
      <c r="BB715" s="507"/>
      <c r="BC715" s="507"/>
      <c r="BD715" s="507"/>
      <c r="BE715" s="507"/>
      <c r="BF715" s="507"/>
      <c r="BG715" s="507"/>
      <c r="BH715" s="507"/>
      <c r="BI715" s="33"/>
      <c r="BJ715" s="12"/>
    </row>
    <row r="716" spans="1:62" ht="113.25" hidden="1" customHeight="1">
      <c r="A716" s="16">
        <f>OBRA!K714</f>
        <v>2023</v>
      </c>
      <c r="B716" s="781" t="s">
        <v>3947</v>
      </c>
      <c r="C716" s="781">
        <f>OBRA!L714</f>
        <v>233011</v>
      </c>
      <c r="D716" s="781" t="s">
        <v>2313</v>
      </c>
      <c r="E716" s="2" t="str">
        <f>OBRA!N714</f>
        <v>CUENTA CORRIENTE</v>
      </c>
      <c r="F716" s="18" t="s">
        <v>1427</v>
      </c>
      <c r="G716" s="156" t="s">
        <v>2864</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6441</v>
      </c>
      <c r="M716" s="3" t="s">
        <v>6768</v>
      </c>
      <c r="N716" s="3" t="str">
        <f>OBRA!R714</f>
        <v>CABECERA MUNICIPAL</v>
      </c>
      <c r="O716" s="505" t="s">
        <v>6556</v>
      </c>
      <c r="P716" s="4">
        <f>OBRA!S714</f>
        <v>1020.8</v>
      </c>
      <c r="Q716" s="1045">
        <f t="shared" si="52"/>
        <v>880</v>
      </c>
      <c r="R716" s="79" t="s">
        <v>2297</v>
      </c>
      <c r="S716" s="6">
        <f>OBRA!T714</f>
        <v>44966</v>
      </c>
      <c r="T716" s="1156" t="str">
        <f>OBRA!W714</f>
        <v>-</v>
      </c>
      <c r="U716" s="5">
        <f>OBRA!U714</f>
        <v>44970</v>
      </c>
      <c r="V716" s="11">
        <f>OBRA!V714</f>
        <v>44977</v>
      </c>
      <c r="W716" s="1557">
        <v>0</v>
      </c>
      <c r="X716" s="1119">
        <f>OBRA!AT714+OBRA!AU714</f>
        <v>0</v>
      </c>
      <c r="Y716" s="1040" t="s">
        <v>6791</v>
      </c>
      <c r="Z716" s="146" t="str">
        <f>OBRA!X714</f>
        <v xml:space="preserve">DORIA &amp; SAMPIER CONSTRUCTORA, S.A. DE C.V. </v>
      </c>
      <c r="AA716" s="146" t="s">
        <v>5669</v>
      </c>
      <c r="AB716" s="1816" t="s">
        <v>5610</v>
      </c>
      <c r="AC716" s="1817" t="s">
        <v>4404</v>
      </c>
      <c r="AD716" s="1816" t="s">
        <v>5611</v>
      </c>
      <c r="AE716" s="1818" t="str">
        <f>OBRA!Y714</f>
        <v>C. DANIEL RODRIGUEZ VALENZUELA</v>
      </c>
      <c r="AF716" s="19">
        <v>1</v>
      </c>
      <c r="AG716" s="1990" t="s">
        <v>6779</v>
      </c>
      <c r="AH716" s="184">
        <f t="shared" si="50"/>
        <v>1020.8</v>
      </c>
      <c r="AI716" s="511"/>
      <c r="AJ716" s="507"/>
      <c r="AK716" s="1991">
        <v>1</v>
      </c>
      <c r="AL716" s="626"/>
      <c r="AM716" s="1546"/>
      <c r="AN716" s="565"/>
      <c r="AO716" s="565"/>
      <c r="AP716" s="565"/>
      <c r="AQ716" s="507"/>
      <c r="AR716" s="507"/>
      <c r="AS716" s="512"/>
      <c r="AT716" s="507"/>
      <c r="AU716" s="507"/>
      <c r="AV716" s="507"/>
      <c r="AW716" s="507"/>
      <c r="AX716" s="507"/>
      <c r="AY716" s="507"/>
      <c r="AZ716" s="507"/>
      <c r="BA716" s="507"/>
      <c r="BB716" s="507"/>
      <c r="BC716" s="507"/>
      <c r="BD716" s="507"/>
      <c r="BE716" s="507"/>
      <c r="BF716" s="507"/>
      <c r="BG716" s="507"/>
      <c r="BH716" s="507"/>
      <c r="BI716" s="33"/>
      <c r="BJ716" s="12"/>
    </row>
    <row r="717" spans="1:62" ht="121.5" hidden="1" customHeight="1">
      <c r="A717" s="16">
        <f>OBRA!K715</f>
        <v>2023</v>
      </c>
      <c r="B717" s="781" t="s">
        <v>3947</v>
      </c>
      <c r="C717" s="781">
        <f>OBRA!L715</f>
        <v>233012</v>
      </c>
      <c r="D717" s="781" t="s">
        <v>2313</v>
      </c>
      <c r="E717" s="2" t="str">
        <f>OBRA!N715</f>
        <v>CUENTA CORRIENTE</v>
      </c>
      <c r="F717" s="18" t="s">
        <v>1427</v>
      </c>
      <c r="G717" s="156" t="s">
        <v>2864</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6442</v>
      </c>
      <c r="M717" s="3" t="s">
        <v>6768</v>
      </c>
      <c r="N717" s="3" t="str">
        <f>OBRA!R715</f>
        <v>CABECERA MUNICIPAL</v>
      </c>
      <c r="O717" s="505" t="s">
        <v>6556</v>
      </c>
      <c r="P717" s="4">
        <f>OBRA!S715</f>
        <v>754</v>
      </c>
      <c r="Q717" s="1045">
        <f t="shared" si="52"/>
        <v>650</v>
      </c>
      <c r="R717" s="79" t="s">
        <v>2297</v>
      </c>
      <c r="S717" s="6">
        <f>OBRA!T715</f>
        <v>44974</v>
      </c>
      <c r="T717" s="1156" t="str">
        <f>OBRA!W715</f>
        <v>-</v>
      </c>
      <c r="U717" s="5">
        <f>OBRA!U715</f>
        <v>44977</v>
      </c>
      <c r="V717" s="11">
        <f>OBRA!V715</f>
        <v>44982</v>
      </c>
      <c r="W717" s="1557">
        <v>0</v>
      </c>
      <c r="X717" s="1119">
        <f>OBRA!AT715+OBRA!AU715</f>
        <v>0</v>
      </c>
      <c r="Y717" s="1040" t="s">
        <v>6791</v>
      </c>
      <c r="Z717" s="146" t="str">
        <f>OBRA!X715</f>
        <v xml:space="preserve">DORIA &amp; SAMPIER CONSTRUCTORA, S.A. DE C.V. </v>
      </c>
      <c r="AA717" s="146" t="s">
        <v>5669</v>
      </c>
      <c r="AB717" s="1816" t="s">
        <v>5610</v>
      </c>
      <c r="AC717" s="1817" t="s">
        <v>4404</v>
      </c>
      <c r="AD717" s="1816" t="s">
        <v>5611</v>
      </c>
      <c r="AE717" s="1818" t="str">
        <f>OBRA!Y715</f>
        <v>C. DANIEL RODRIGUEZ VALENZUELA</v>
      </c>
      <c r="AF717" s="19">
        <v>1</v>
      </c>
      <c r="AG717" s="1990" t="s">
        <v>6778</v>
      </c>
      <c r="AH717" s="184">
        <f t="shared" si="50"/>
        <v>754</v>
      </c>
      <c r="AI717" s="511"/>
      <c r="AJ717" s="507"/>
      <c r="AK717" s="1991">
        <v>1</v>
      </c>
      <c r="AL717" s="626"/>
      <c r="AM717" s="1546"/>
      <c r="AN717" s="565"/>
      <c r="AO717" s="565"/>
      <c r="AP717" s="565"/>
      <c r="AQ717" s="507"/>
      <c r="AR717" s="507"/>
      <c r="AS717" s="512"/>
      <c r="AT717" s="507"/>
      <c r="AU717" s="507"/>
      <c r="AV717" s="507"/>
      <c r="AW717" s="507"/>
      <c r="AX717" s="507"/>
      <c r="AY717" s="507"/>
      <c r="AZ717" s="507"/>
      <c r="BA717" s="507"/>
      <c r="BB717" s="507"/>
      <c r="BC717" s="507"/>
      <c r="BD717" s="507"/>
      <c r="BE717" s="507"/>
      <c r="BF717" s="507"/>
      <c r="BG717" s="507"/>
      <c r="BH717" s="507"/>
      <c r="BI717" s="33"/>
      <c r="BJ717" s="12"/>
    </row>
    <row r="718" spans="1:62" ht="132" hidden="1" customHeight="1">
      <c r="A718" s="16">
        <f>OBRA!K716</f>
        <v>2023</v>
      </c>
      <c r="B718" s="781" t="s">
        <v>3947</v>
      </c>
      <c r="C718" s="781">
        <f>OBRA!L716</f>
        <v>233014</v>
      </c>
      <c r="D718" s="781" t="s">
        <v>2313</v>
      </c>
      <c r="E718" s="2" t="str">
        <f>OBRA!N716</f>
        <v>CUENTA CORRIENTE</v>
      </c>
      <c r="F718" s="18" t="s">
        <v>1427</v>
      </c>
      <c r="G718" s="156" t="s">
        <v>2864</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6441</v>
      </c>
      <c r="M718" s="3" t="s">
        <v>6768</v>
      </c>
      <c r="N718" s="3" t="str">
        <f>OBRA!R716</f>
        <v>CABECERA MUNICIPAL</v>
      </c>
      <c r="O718" s="505" t="s">
        <v>6556</v>
      </c>
      <c r="P718" s="4">
        <f>OBRA!S716</f>
        <v>1020.8</v>
      </c>
      <c r="Q718" s="1045">
        <f t="shared" si="52"/>
        <v>880</v>
      </c>
      <c r="R718" s="79" t="s">
        <v>2297</v>
      </c>
      <c r="S718" s="6">
        <f>OBRA!T716</f>
        <v>44974</v>
      </c>
      <c r="T718" s="1156" t="str">
        <f>OBRA!W716</f>
        <v>-</v>
      </c>
      <c r="U718" s="5">
        <f>OBRA!U716</f>
        <v>44977</v>
      </c>
      <c r="V718" s="11">
        <f>OBRA!V716</f>
        <v>44982</v>
      </c>
      <c r="W718" s="1557">
        <v>0</v>
      </c>
      <c r="X718" s="1119">
        <f>OBRA!AT716+OBRA!AU716</f>
        <v>0</v>
      </c>
      <c r="Y718" s="1040" t="s">
        <v>6791</v>
      </c>
      <c r="Z718" s="146" t="str">
        <f>OBRA!X716</f>
        <v xml:space="preserve">DORIA &amp; SAMPIER CONSTRUCTORA, S.A. DE C.V. </v>
      </c>
      <c r="AA718" s="146" t="s">
        <v>5669</v>
      </c>
      <c r="AB718" s="1816" t="s">
        <v>5610</v>
      </c>
      <c r="AC718" s="1817" t="s">
        <v>4404</v>
      </c>
      <c r="AD718" s="1816" t="s">
        <v>5611</v>
      </c>
      <c r="AE718" s="1818" t="str">
        <f>OBRA!Y716</f>
        <v>C. DANIEL RODRIGUEZ VALENZUELA</v>
      </c>
      <c r="AF718" s="19">
        <v>1</v>
      </c>
      <c r="AG718" s="1990" t="s">
        <v>6779</v>
      </c>
      <c r="AH718" s="184">
        <f t="shared" si="50"/>
        <v>1020.8</v>
      </c>
      <c r="AI718" s="511"/>
      <c r="AJ718" s="507"/>
      <c r="AK718" s="1991">
        <v>1</v>
      </c>
      <c r="AL718" s="626"/>
      <c r="AM718" s="1546"/>
      <c r="AN718" s="565"/>
      <c r="AO718" s="565"/>
      <c r="AP718" s="565"/>
      <c r="AQ718" s="507"/>
      <c r="AR718" s="507"/>
      <c r="AS718" s="512"/>
      <c r="AT718" s="507"/>
      <c r="AU718" s="507"/>
      <c r="AV718" s="507"/>
      <c r="AW718" s="507"/>
      <c r="AX718" s="507"/>
      <c r="AY718" s="507"/>
      <c r="AZ718" s="507"/>
      <c r="BA718" s="507"/>
      <c r="BB718" s="507"/>
      <c r="BC718" s="507"/>
      <c r="BD718" s="507"/>
      <c r="BE718" s="507"/>
      <c r="BF718" s="507"/>
      <c r="BG718" s="507"/>
      <c r="BH718" s="507"/>
      <c r="BI718" s="33"/>
      <c r="BJ718" s="12"/>
    </row>
    <row r="719" spans="1:62" ht="129" hidden="1" customHeight="1">
      <c r="A719" s="16">
        <f>OBRA!K717</f>
        <v>2023</v>
      </c>
      <c r="B719" s="781" t="s">
        <v>3947</v>
      </c>
      <c r="C719" s="781">
        <f>OBRA!L717</f>
        <v>233014</v>
      </c>
      <c r="D719" s="781" t="s">
        <v>2313</v>
      </c>
      <c r="E719" s="2" t="str">
        <f>OBRA!N717</f>
        <v>CUENTA CORRIENTE</v>
      </c>
      <c r="F719" s="18" t="s">
        <v>1427</v>
      </c>
      <c r="G719" s="156" t="s">
        <v>2864</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6443</v>
      </c>
      <c r="M719" s="3" t="s">
        <v>6768</v>
      </c>
      <c r="N719" s="3" t="str">
        <f>OBRA!R717</f>
        <v>CABECERA MUNICIPAL</v>
      </c>
      <c r="O719" s="505" t="s">
        <v>6556</v>
      </c>
      <c r="P719" s="4">
        <f>OBRA!S717</f>
        <v>696</v>
      </c>
      <c r="Q719" s="1045">
        <f t="shared" si="52"/>
        <v>600</v>
      </c>
      <c r="R719" s="79" t="s">
        <v>2297</v>
      </c>
      <c r="S719" s="6">
        <f>OBRA!T717</f>
        <v>44977</v>
      </c>
      <c r="T719" s="1156" t="str">
        <f>OBRA!W717</f>
        <v>-</v>
      </c>
      <c r="U719" s="5">
        <f>OBRA!U717</f>
        <v>44978</v>
      </c>
      <c r="V719" s="11">
        <f>OBRA!V717</f>
        <v>44982</v>
      </c>
      <c r="W719" s="1557">
        <v>0</v>
      </c>
      <c r="X719" s="1119">
        <f>OBRA!AT717+OBRA!AU717</f>
        <v>0</v>
      </c>
      <c r="Y719" s="1040" t="s">
        <v>6791</v>
      </c>
      <c r="Z719" s="146" t="str">
        <f>OBRA!X717</f>
        <v xml:space="preserve">DORIA &amp; SAMPIER CONSTRUCTORA, S.A. DE C.V. </v>
      </c>
      <c r="AA719" s="146" t="s">
        <v>5669</v>
      </c>
      <c r="AB719" s="1816" t="s">
        <v>5610</v>
      </c>
      <c r="AC719" s="1817" t="s">
        <v>4404</v>
      </c>
      <c r="AD719" s="1816" t="s">
        <v>5611</v>
      </c>
      <c r="AE719" s="1818" t="str">
        <f>OBRA!Y717</f>
        <v>C. DANIEL RODRIGUEZ VALENZUELA</v>
      </c>
      <c r="AF719" s="19">
        <v>1</v>
      </c>
      <c r="AG719" s="1990" t="s">
        <v>6778</v>
      </c>
      <c r="AH719" s="184">
        <f t="shared" si="50"/>
        <v>696</v>
      </c>
      <c r="AI719" s="511"/>
      <c r="AJ719" s="507"/>
      <c r="AK719" s="1991">
        <v>1</v>
      </c>
      <c r="AL719" s="626"/>
      <c r="AM719" s="1546"/>
      <c r="AN719" s="565"/>
      <c r="AO719" s="565"/>
      <c r="AP719" s="565"/>
      <c r="AQ719" s="507"/>
      <c r="AR719" s="507"/>
      <c r="AS719" s="512"/>
      <c r="AT719" s="507"/>
      <c r="AU719" s="507"/>
      <c r="AV719" s="507"/>
      <c r="AW719" s="507"/>
      <c r="AX719" s="507"/>
      <c r="AY719" s="507"/>
      <c r="AZ719" s="507"/>
      <c r="BA719" s="507"/>
      <c r="BB719" s="507"/>
      <c r="BC719" s="507"/>
      <c r="BD719" s="507"/>
      <c r="BE719" s="507"/>
      <c r="BF719" s="507"/>
      <c r="BG719" s="507"/>
      <c r="BH719" s="507"/>
      <c r="BI719" s="33"/>
      <c r="BJ719" s="12"/>
    </row>
    <row r="720" spans="1:62" ht="93.75" hidden="1" customHeight="1">
      <c r="A720" s="16">
        <f>OBRA!K718</f>
        <v>2023</v>
      </c>
      <c r="B720" s="781" t="s">
        <v>3947</v>
      </c>
      <c r="C720" s="781">
        <f>OBRA!L718</f>
        <v>233015</v>
      </c>
      <c r="D720" s="781" t="s">
        <v>2313</v>
      </c>
      <c r="E720" s="2" t="str">
        <f>OBRA!N718</f>
        <v>CUENTA CORRIENTE</v>
      </c>
      <c r="F720" s="18" t="s">
        <v>1427</v>
      </c>
      <c r="G720" s="156" t="s">
        <v>2864</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6442</v>
      </c>
      <c r="M720" s="3" t="s">
        <v>67</v>
      </c>
      <c r="N720" s="3" t="str">
        <f>OBRA!R718</f>
        <v>MUNICIPIO</v>
      </c>
      <c r="O720" s="505" t="s">
        <v>6556</v>
      </c>
      <c r="P720" s="4">
        <f>OBRA!S718</f>
        <v>59681.999999999993</v>
      </c>
      <c r="Q720" s="1045">
        <f t="shared" si="52"/>
        <v>51450</v>
      </c>
      <c r="R720" s="1762" t="s">
        <v>67</v>
      </c>
      <c r="S720" s="6">
        <f>OBRA!T718</f>
        <v>45044</v>
      </c>
      <c r="T720" s="1156" t="str">
        <f>OBRA!W718</f>
        <v>-</v>
      </c>
      <c r="U720" s="5">
        <f>OBRA!U718</f>
        <v>45047</v>
      </c>
      <c r="V720" s="11">
        <f>OBRA!V718</f>
        <v>45077</v>
      </c>
      <c r="W720" s="1557">
        <v>0</v>
      </c>
      <c r="X720" s="1119">
        <f>OBRA!AT718+OBRA!AU718</f>
        <v>0</v>
      </c>
      <c r="Y720" s="1040" t="s">
        <v>6791</v>
      </c>
      <c r="Z720" s="146" t="str">
        <f>OBRA!X718</f>
        <v>URBANIZADORA Y PAVIMENTADORA MONLE S.A. DE C.V.</v>
      </c>
      <c r="AA720" s="146" t="s">
        <v>5669</v>
      </c>
      <c r="AB720" s="1828" t="s">
        <v>4881</v>
      </c>
      <c r="AC720" s="1829" t="s">
        <v>4882</v>
      </c>
      <c r="AD720" s="1828" t="s">
        <v>5906</v>
      </c>
      <c r="AE720" s="1818" t="str">
        <f>OBRA!Y718</f>
        <v>C. DANIEL RODRIGUEZ VALENZUELA</v>
      </c>
      <c r="AF720" s="19">
        <v>1</v>
      </c>
      <c r="AG720" s="1990" t="s">
        <v>6778</v>
      </c>
      <c r="AH720" s="184">
        <f t="shared" si="50"/>
        <v>59681.999999999993</v>
      </c>
      <c r="AI720" s="511"/>
      <c r="AJ720" s="507"/>
      <c r="AK720" s="1991">
        <v>1</v>
      </c>
      <c r="AL720" s="626"/>
      <c r="AM720" s="1546"/>
      <c r="AN720" s="565"/>
      <c r="AO720" s="565"/>
      <c r="AP720" s="565"/>
      <c r="AQ720" s="507"/>
      <c r="AR720" s="507"/>
      <c r="AS720" s="512"/>
      <c r="AT720" s="507"/>
      <c r="AU720" s="507"/>
      <c r="AV720" s="507"/>
      <c r="AW720" s="507"/>
      <c r="AX720" s="507"/>
      <c r="AY720" s="507"/>
      <c r="AZ720" s="507"/>
      <c r="BA720" s="507"/>
      <c r="BB720" s="507"/>
      <c r="BC720" s="507"/>
      <c r="BD720" s="507"/>
      <c r="BE720" s="507"/>
      <c r="BF720" s="507"/>
      <c r="BG720" s="507"/>
      <c r="BH720" s="507"/>
      <c r="BI720" s="33" t="s">
        <v>550</v>
      </c>
      <c r="BJ720" s="12"/>
    </row>
    <row r="721" spans="1:62" ht="138" hidden="1" customHeight="1">
      <c r="A721" s="16">
        <f>OBRA!K719</f>
        <v>2023</v>
      </c>
      <c r="B721" s="781" t="s">
        <v>3947</v>
      </c>
      <c r="C721" s="781">
        <f>OBRA!L719</f>
        <v>233016</v>
      </c>
      <c r="D721" s="781" t="s">
        <v>2313</v>
      </c>
      <c r="E721" s="2" t="str">
        <f>OBRA!N719</f>
        <v>CUENTA CORRIENTE</v>
      </c>
      <c r="F721" s="697" t="s">
        <v>5653</v>
      </c>
      <c r="G721" s="156" t="s">
        <v>2864</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6443</v>
      </c>
      <c r="M721" s="544"/>
      <c r="N721" s="3" t="str">
        <f>OBRA!R719</f>
        <v>EL MOLINO</v>
      </c>
      <c r="O721" s="505" t="s">
        <v>6556</v>
      </c>
      <c r="P721" s="4">
        <f>OBRA!S719</f>
        <v>2900</v>
      </c>
      <c r="Q721" s="1045">
        <f t="shared" si="52"/>
        <v>2500</v>
      </c>
      <c r="R721" s="1762" t="s">
        <v>67</v>
      </c>
      <c r="S721" s="6">
        <f>OBRA!T719</f>
        <v>45113</v>
      </c>
      <c r="T721" s="1156" t="str">
        <f>OBRA!W719</f>
        <v>-</v>
      </c>
      <c r="U721" s="5">
        <f>OBRA!U719</f>
        <v>45117</v>
      </c>
      <c r="V721" s="11">
        <f>OBRA!V719</f>
        <v>45127</v>
      </c>
      <c r="W721" s="1557">
        <v>0</v>
      </c>
      <c r="X721" s="1119">
        <f>OBRA!AT719+OBRA!AU719</f>
        <v>0</v>
      </c>
      <c r="Y721" s="1040" t="s">
        <v>6791</v>
      </c>
      <c r="Z721" s="146" t="str">
        <f>OBRA!X719</f>
        <v>GHR CONSTRUCTOR, S.A. DE C.V.</v>
      </c>
      <c r="AA721" s="146" t="s">
        <v>5669</v>
      </c>
      <c r="AB721" s="1816" t="s">
        <v>5612</v>
      </c>
      <c r="AC721" s="1817" t="s">
        <v>5613</v>
      </c>
      <c r="AD721" s="1816" t="s">
        <v>6749</v>
      </c>
      <c r="AE721" s="1818" t="str">
        <f>OBRA!Y719</f>
        <v>C. DANIEL RODRIGUEZ VALENZUELA</v>
      </c>
      <c r="AF721" s="19">
        <v>2</v>
      </c>
      <c r="AG721" s="1990" t="s">
        <v>6778</v>
      </c>
      <c r="AH721" s="184">
        <f t="shared" si="50"/>
        <v>1450</v>
      </c>
      <c r="AI721" s="511"/>
      <c r="AJ721" s="507"/>
      <c r="AK721" s="1991">
        <v>1</v>
      </c>
      <c r="AL721" s="626"/>
      <c r="AM721" s="1546"/>
      <c r="AN721" s="565"/>
      <c r="AO721" s="565"/>
      <c r="AP721" s="565"/>
      <c r="AQ721" s="507"/>
      <c r="AR721" s="507"/>
      <c r="AS721" s="512"/>
      <c r="AT721" s="507"/>
      <c r="AU721" s="507"/>
      <c r="AV721" s="507"/>
      <c r="AW721" s="507"/>
      <c r="AX721" s="507"/>
      <c r="AY721" s="507"/>
      <c r="AZ721" s="507"/>
      <c r="BA721" s="507"/>
      <c r="BB721" s="507"/>
      <c r="BC721" s="507"/>
      <c r="BD721" s="507"/>
      <c r="BE721" s="507"/>
      <c r="BF721" s="507"/>
      <c r="BG721" s="507"/>
      <c r="BH721" s="507"/>
      <c r="BI721" s="33"/>
      <c r="BJ721" s="12"/>
    </row>
    <row r="722" spans="1:62" ht="84" hidden="1" customHeight="1">
      <c r="A722" s="16">
        <f>OBRA!K720</f>
        <v>2023</v>
      </c>
      <c r="B722" s="781" t="s">
        <v>3947</v>
      </c>
      <c r="C722" s="781">
        <f>OBRA!L720</f>
        <v>233017</v>
      </c>
      <c r="D722" s="781" t="s">
        <v>2313</v>
      </c>
      <c r="E722" s="2" t="str">
        <f>OBRA!N720</f>
        <v>CUENTA CORRIENTE</v>
      </c>
      <c r="F722" s="18" t="s">
        <v>1427</v>
      </c>
      <c r="G722" s="156" t="s">
        <v>2864</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6442</v>
      </c>
      <c r="M722" s="3" t="s">
        <v>6767</v>
      </c>
      <c r="N722" s="3" t="str">
        <f>OBRA!R720</f>
        <v>LAS TROJES</v>
      </c>
      <c r="O722" s="505" t="s">
        <v>6556</v>
      </c>
      <c r="P722" s="4">
        <f>OBRA!S720</f>
        <v>696</v>
      </c>
      <c r="Q722" s="1045">
        <f t="shared" si="52"/>
        <v>600</v>
      </c>
      <c r="R722" s="1762" t="s">
        <v>67</v>
      </c>
      <c r="S722" s="6">
        <f>OBRA!T720</f>
        <v>45133</v>
      </c>
      <c r="T722" s="1156" t="str">
        <f>OBRA!W720</f>
        <v>-</v>
      </c>
      <c r="U722" s="5">
        <f>OBRA!U720</f>
        <v>45139</v>
      </c>
      <c r="V722" s="11">
        <f>OBRA!V720</f>
        <v>45148</v>
      </c>
      <c r="W722" s="1557">
        <v>0</v>
      </c>
      <c r="X722" s="1119">
        <f>OBRA!AT720+OBRA!AU720</f>
        <v>0</v>
      </c>
      <c r="Y722" s="1040" t="s">
        <v>6791</v>
      </c>
      <c r="Z722" s="146" t="str">
        <f>OBRA!X720</f>
        <v>GHR CONSTRUCTOR, S.A. DE C.V.</v>
      </c>
      <c r="AA722" s="146" t="s">
        <v>5669</v>
      </c>
      <c r="AB722" s="1816" t="s">
        <v>5612</v>
      </c>
      <c r="AC722" s="1817" t="s">
        <v>5613</v>
      </c>
      <c r="AD722" s="1816" t="s">
        <v>6749</v>
      </c>
      <c r="AE722" s="1818" t="str">
        <f>OBRA!Y720</f>
        <v>C. DANIEL RODRIGUEZ VALENZUELA</v>
      </c>
      <c r="AF722" s="19">
        <v>1</v>
      </c>
      <c r="AG722" s="1990" t="s">
        <v>6778</v>
      </c>
      <c r="AH722" s="184">
        <f t="shared" si="50"/>
        <v>696</v>
      </c>
      <c r="AI722" s="511"/>
      <c r="AJ722" s="507"/>
      <c r="AK722" s="1991">
        <v>1</v>
      </c>
      <c r="AL722" s="626"/>
      <c r="AM722" s="1546"/>
      <c r="AN722" s="565"/>
      <c r="AO722" s="565"/>
      <c r="AP722" s="565"/>
      <c r="AQ722" s="507"/>
      <c r="AR722" s="507"/>
      <c r="AS722" s="512"/>
      <c r="AT722" s="507"/>
      <c r="AU722" s="507"/>
      <c r="AV722" s="507"/>
      <c r="AW722" s="507"/>
      <c r="AX722" s="507"/>
      <c r="AY722" s="507"/>
      <c r="AZ722" s="507"/>
      <c r="BA722" s="507"/>
      <c r="BB722" s="507"/>
      <c r="BC722" s="507"/>
      <c r="BD722" s="507"/>
      <c r="BE722" s="507"/>
      <c r="BF722" s="507"/>
      <c r="BG722" s="507"/>
      <c r="BH722" s="507"/>
      <c r="BI722" s="33" t="s">
        <v>550</v>
      </c>
      <c r="BJ722" s="12"/>
    </row>
    <row r="723" spans="1:62" ht="78.75" hidden="1" customHeight="1">
      <c r="A723" s="16">
        <f>OBRA!K721</f>
        <v>2023</v>
      </c>
      <c r="B723" s="781" t="s">
        <v>3947</v>
      </c>
      <c r="C723" s="781">
        <f>OBRA!L721</f>
        <v>233018</v>
      </c>
      <c r="D723" s="781" t="s">
        <v>2313</v>
      </c>
      <c r="E723" s="2" t="str">
        <f>OBRA!N721</f>
        <v>CUENTA CORRIENTE</v>
      </c>
      <c r="F723" s="18" t="s">
        <v>1427</v>
      </c>
      <c r="G723" s="156" t="s">
        <v>2864</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6442</v>
      </c>
      <c r="M723" s="3" t="s">
        <v>67</v>
      </c>
      <c r="N723" s="3" t="str">
        <f>OBRA!R721</f>
        <v>MUNICIPIO</v>
      </c>
      <c r="O723" s="505" t="s">
        <v>6556</v>
      </c>
      <c r="P723" s="4">
        <f>OBRA!S721</f>
        <v>56839.999999999993</v>
      </c>
      <c r="Q723" s="1045">
        <f t="shared" si="52"/>
        <v>49000</v>
      </c>
      <c r="R723" s="1762" t="s">
        <v>67</v>
      </c>
      <c r="S723" s="6">
        <f>OBRA!T721</f>
        <v>45077</v>
      </c>
      <c r="T723" s="1156" t="str">
        <f>OBRA!W721</f>
        <v>-</v>
      </c>
      <c r="U723" s="5">
        <f>OBRA!U721</f>
        <v>45078</v>
      </c>
      <c r="V723" s="11">
        <f>OBRA!V721</f>
        <v>45138</v>
      </c>
      <c r="W723" s="1557">
        <v>0</v>
      </c>
      <c r="X723" s="1119">
        <f>OBRA!AT721+OBRA!AU721</f>
        <v>0</v>
      </c>
      <c r="Y723" s="1040" t="s">
        <v>6791</v>
      </c>
      <c r="Z723" s="146" t="str">
        <f>OBRA!X721</f>
        <v>URBANIZADORA Y PAVIMENTADORA MONLE, S.A. DE C.V.</v>
      </c>
      <c r="AA723" s="146" t="s">
        <v>5669</v>
      </c>
      <c r="AB723" s="1828" t="s">
        <v>4881</v>
      </c>
      <c r="AC723" s="1829" t="s">
        <v>4882</v>
      </c>
      <c r="AD723" s="1828" t="s">
        <v>5906</v>
      </c>
      <c r="AE723" s="1818" t="str">
        <f>OBRA!Y721</f>
        <v>C. DANIEL RODRIGUEZ VALENZUELA</v>
      </c>
      <c r="AF723" s="19">
        <v>1</v>
      </c>
      <c r="AG723" s="1990" t="s">
        <v>6778</v>
      </c>
      <c r="AH723" s="184">
        <f t="shared" si="50"/>
        <v>56839.999999999993</v>
      </c>
      <c r="AI723" s="511"/>
      <c r="AJ723" s="507"/>
      <c r="AK723" s="1991">
        <v>1</v>
      </c>
      <c r="AL723" s="626"/>
      <c r="AM723" s="1546"/>
      <c r="AN723" s="565"/>
      <c r="AO723" s="565"/>
      <c r="AP723" s="565"/>
      <c r="AQ723" s="507"/>
      <c r="AR723" s="507"/>
      <c r="AS723" s="512"/>
      <c r="AT723" s="507"/>
      <c r="AU723" s="507"/>
      <c r="AV723" s="507"/>
      <c r="AW723" s="507"/>
      <c r="AX723" s="507"/>
      <c r="AY723" s="507"/>
      <c r="AZ723" s="507"/>
      <c r="BA723" s="507"/>
      <c r="BB723" s="507"/>
      <c r="BC723" s="507"/>
      <c r="BD723" s="507"/>
      <c r="BE723" s="507"/>
      <c r="BF723" s="507"/>
      <c r="BG723" s="507"/>
      <c r="BH723" s="507"/>
      <c r="BI723" s="33" t="s">
        <v>550</v>
      </c>
      <c r="BJ723" s="12"/>
    </row>
    <row r="724" spans="1:62" ht="83.25" hidden="1" customHeight="1">
      <c r="A724" s="16">
        <f>OBRA!K722</f>
        <v>2023</v>
      </c>
      <c r="B724" s="781" t="s">
        <v>3947</v>
      </c>
      <c r="C724" s="781">
        <f>OBRA!L722</f>
        <v>233019</v>
      </c>
      <c r="D724" s="781" t="s">
        <v>2313</v>
      </c>
      <c r="E724" s="2" t="str">
        <f>OBRA!N722</f>
        <v>CUENTA CORRIENTE</v>
      </c>
      <c r="F724" s="697" t="s">
        <v>5654</v>
      </c>
      <c r="G724" s="156" t="s">
        <v>2864</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6442</v>
      </c>
      <c r="M724" s="3" t="s">
        <v>6761</v>
      </c>
      <c r="N724" s="3" t="str">
        <f>OBRA!R722</f>
        <v>CABECERA MUNICIPAL</v>
      </c>
      <c r="O724" s="505" t="s">
        <v>6556</v>
      </c>
      <c r="P724" s="4">
        <f>OBRA!S722</f>
        <v>779.52</v>
      </c>
      <c r="Q724" s="1045">
        <f t="shared" ref="Q724:Q755" si="53">P724/1.16</f>
        <v>672</v>
      </c>
      <c r="R724" s="1762" t="s">
        <v>67</v>
      </c>
      <c r="S724" s="6">
        <f>OBRA!T722</f>
        <v>45210</v>
      </c>
      <c r="T724" s="1156" t="str">
        <f>OBRA!W722</f>
        <v>-</v>
      </c>
      <c r="U724" s="5">
        <f>OBRA!U722</f>
        <v>45215</v>
      </c>
      <c r="V724" s="11">
        <f>OBRA!V722</f>
        <v>45217</v>
      </c>
      <c r="W724" s="1557">
        <v>0</v>
      </c>
      <c r="X724" s="1119">
        <f>OBRA!AT722+OBRA!AU722</f>
        <v>0</v>
      </c>
      <c r="Y724" s="1040" t="s">
        <v>6791</v>
      </c>
      <c r="Z724" s="146" t="str">
        <f>OBRA!X722</f>
        <v xml:space="preserve">DORIA &amp; SAMPIER CONSTRUCTORA, S.A. DE C.V. </v>
      </c>
      <c r="AA724" s="146" t="s">
        <v>5669</v>
      </c>
      <c r="AB724" s="1816" t="s">
        <v>5610</v>
      </c>
      <c r="AC724" s="1817" t="s">
        <v>4404</v>
      </c>
      <c r="AD724" s="1816" t="s">
        <v>5611</v>
      </c>
      <c r="AE724" s="1818" t="str">
        <f>OBRA!Y722</f>
        <v>C. DANIEL RODRIGUEZ VALENZUELA</v>
      </c>
      <c r="AF724" s="19">
        <v>1</v>
      </c>
      <c r="AG724" s="1990" t="s">
        <v>6778</v>
      </c>
      <c r="AH724" s="184">
        <f t="shared" si="50"/>
        <v>779.52</v>
      </c>
      <c r="AI724" s="511"/>
      <c r="AJ724" s="507"/>
      <c r="AK724" s="1991">
        <v>1</v>
      </c>
      <c r="AL724" s="626"/>
      <c r="AM724" s="1546"/>
      <c r="AN724" s="565"/>
      <c r="AO724" s="565"/>
      <c r="AP724" s="565"/>
      <c r="AQ724" s="507"/>
      <c r="AR724" s="507"/>
      <c r="AS724" s="512"/>
      <c r="AT724" s="507"/>
      <c r="AU724" s="507"/>
      <c r="AV724" s="507"/>
      <c r="AW724" s="507"/>
      <c r="AX724" s="507"/>
      <c r="AY724" s="507"/>
      <c r="AZ724" s="507"/>
      <c r="BA724" s="507"/>
      <c r="BB724" s="507"/>
      <c r="BC724" s="507"/>
      <c r="BD724" s="507"/>
      <c r="BE724" s="507"/>
      <c r="BF724" s="507"/>
      <c r="BG724" s="507"/>
      <c r="BH724" s="507"/>
      <c r="BI724" s="33" t="s">
        <v>550</v>
      </c>
      <c r="BJ724" s="12"/>
    </row>
    <row r="725" spans="1:62" ht="105" hidden="1" customHeight="1">
      <c r="A725" s="16">
        <f>OBRA!K723</f>
        <v>2023</v>
      </c>
      <c r="B725" s="781" t="s">
        <v>3947</v>
      </c>
      <c r="C725" s="781">
        <f>OBRA!L723</f>
        <v>233020</v>
      </c>
      <c r="D725" s="781" t="s">
        <v>2313</v>
      </c>
      <c r="E725" s="2" t="str">
        <f>OBRA!N723</f>
        <v>CUENTA CORRIENTE</v>
      </c>
      <c r="F725" s="18" t="s">
        <v>1427</v>
      </c>
      <c r="G725" s="156" t="s">
        <v>2864</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6442</v>
      </c>
      <c r="M725" s="3" t="s">
        <v>6769</v>
      </c>
      <c r="N725" s="3" t="str">
        <f>OBRA!R723</f>
        <v>CHANTEPEC</v>
      </c>
      <c r="O725" s="505" t="s">
        <v>6556</v>
      </c>
      <c r="P725" s="4">
        <f>OBRA!S723</f>
        <v>730.8</v>
      </c>
      <c r="Q725" s="1045">
        <f t="shared" si="53"/>
        <v>630</v>
      </c>
      <c r="R725" s="1762" t="s">
        <v>67</v>
      </c>
      <c r="S725" s="6">
        <f>OBRA!T723</f>
        <v>45204</v>
      </c>
      <c r="T725" s="1156" t="str">
        <f>OBRA!W723</f>
        <v>-</v>
      </c>
      <c r="U725" s="5">
        <f>OBRA!U723</f>
        <v>45208</v>
      </c>
      <c r="V725" s="11">
        <f>OBRA!V723</f>
        <v>45240</v>
      </c>
      <c r="W725" s="1557">
        <v>0</v>
      </c>
      <c r="X725" s="1119">
        <f>OBRA!AT723+OBRA!AU723</f>
        <v>0</v>
      </c>
      <c r="Y725" s="1040" t="s">
        <v>6791</v>
      </c>
      <c r="Z725" s="146" t="str">
        <f>OBRA!X723</f>
        <v xml:space="preserve">DORIA &amp; SAMPIER CONSTRUCTORA, S.A. DE C.V. </v>
      </c>
      <c r="AA725" s="146" t="s">
        <v>5669</v>
      </c>
      <c r="AB725" s="1816" t="s">
        <v>5610</v>
      </c>
      <c r="AC725" s="1817" t="s">
        <v>4404</v>
      </c>
      <c r="AD725" s="1816" t="s">
        <v>5611</v>
      </c>
      <c r="AE725" s="1818" t="str">
        <f>OBRA!Y723</f>
        <v>C. DANIEL RODRIGUEZ VALENZUELA</v>
      </c>
      <c r="AF725" s="19">
        <v>1</v>
      </c>
      <c r="AG725" s="1990" t="s">
        <v>6778</v>
      </c>
      <c r="AH725" s="184">
        <f t="shared" si="50"/>
        <v>730.8</v>
      </c>
      <c r="AI725" s="511"/>
      <c r="AJ725" s="507"/>
      <c r="AK725" s="1991">
        <v>1</v>
      </c>
      <c r="AL725" s="626"/>
      <c r="AM725" s="1546"/>
      <c r="AN725" s="565"/>
      <c r="AO725" s="565"/>
      <c r="AP725" s="565"/>
      <c r="AQ725" s="507"/>
      <c r="AR725" s="507"/>
      <c r="AS725" s="512"/>
      <c r="AT725" s="507"/>
      <c r="AU725" s="507"/>
      <c r="AV725" s="507"/>
      <c r="AW725" s="507"/>
      <c r="AX725" s="507"/>
      <c r="AY725" s="507"/>
      <c r="AZ725" s="507"/>
      <c r="BA725" s="507"/>
      <c r="BB725" s="507"/>
      <c r="BC725" s="507"/>
      <c r="BD725" s="507"/>
      <c r="BE725" s="507"/>
      <c r="BF725" s="507"/>
      <c r="BG725" s="507"/>
      <c r="BH725" s="507"/>
      <c r="BI725" s="33"/>
      <c r="BJ725" s="12"/>
    </row>
    <row r="726" spans="1:62" ht="114" hidden="1" customHeight="1">
      <c r="A726" s="16">
        <f>OBRA!K724</f>
        <v>2023</v>
      </c>
      <c r="B726" s="781" t="s">
        <v>3947</v>
      </c>
      <c r="C726" s="781">
        <f>OBRA!L724</f>
        <v>233021</v>
      </c>
      <c r="D726" s="781" t="s">
        <v>2313</v>
      </c>
      <c r="E726" s="2" t="str">
        <f>OBRA!N724</f>
        <v>CUENTA CORRIENTE</v>
      </c>
      <c r="F726" s="512"/>
      <c r="G726" s="156" t="s">
        <v>2864</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6443</v>
      </c>
      <c r="M726" s="3" t="s">
        <v>6769</v>
      </c>
      <c r="N726" s="3" t="str">
        <f>OBRA!R724</f>
        <v>CHANTEPEC</v>
      </c>
      <c r="O726" s="505" t="s">
        <v>6557</v>
      </c>
      <c r="P726" s="4">
        <f>OBRA!S724</f>
        <v>754</v>
      </c>
      <c r="Q726" s="1045">
        <f t="shared" si="53"/>
        <v>650</v>
      </c>
      <c r="R726" s="79" t="s">
        <v>67</v>
      </c>
      <c r="S726" s="6">
        <f>OBRA!T724</f>
        <v>45204</v>
      </c>
      <c r="T726" s="1156" t="str">
        <f>OBRA!W724</f>
        <v>-</v>
      </c>
      <c r="U726" s="5">
        <f>OBRA!U724</f>
        <v>45208</v>
      </c>
      <c r="V726" s="11">
        <f>OBRA!V724</f>
        <v>45240</v>
      </c>
      <c r="W726" s="1557">
        <v>0</v>
      </c>
      <c r="X726" s="1119">
        <f>OBRA!AT724+OBRA!AU724</f>
        <v>0</v>
      </c>
      <c r="Y726" s="1040" t="s">
        <v>6791</v>
      </c>
      <c r="Z726" s="146" t="str">
        <f>OBRA!X724</f>
        <v xml:space="preserve">DORIA &amp; SAMPIER CONSTRUCTORA, S.A. DE C.V. </v>
      </c>
      <c r="AA726" s="146" t="s">
        <v>5669</v>
      </c>
      <c r="AB726" s="1816" t="s">
        <v>5610</v>
      </c>
      <c r="AC726" s="1817" t="s">
        <v>4404</v>
      </c>
      <c r="AD726" s="1816" t="s">
        <v>5611</v>
      </c>
      <c r="AE726" s="1818" t="str">
        <f>OBRA!Y724</f>
        <v>C. DANIEL RODRIGUEZ VALENZUELA</v>
      </c>
      <c r="AF726" s="19">
        <v>1</v>
      </c>
      <c r="AG726" s="1990" t="s">
        <v>6778</v>
      </c>
      <c r="AH726" s="184">
        <f t="shared" si="50"/>
        <v>754</v>
      </c>
      <c r="AI726" s="511"/>
      <c r="AJ726" s="507"/>
      <c r="AK726" s="1991">
        <v>1</v>
      </c>
      <c r="AL726" s="626"/>
      <c r="AM726" s="1546"/>
      <c r="AN726" s="565"/>
      <c r="AO726" s="565"/>
      <c r="AP726" s="565"/>
      <c r="AQ726" s="507"/>
      <c r="AR726" s="507"/>
      <c r="AS726" s="512"/>
      <c r="AT726" s="507"/>
      <c r="AU726" s="507"/>
      <c r="AV726" s="507"/>
      <c r="AW726" s="507"/>
      <c r="AX726" s="507"/>
      <c r="AY726" s="507"/>
      <c r="AZ726" s="507"/>
      <c r="BA726" s="507"/>
      <c r="BB726" s="507"/>
      <c r="BC726" s="507"/>
      <c r="BD726" s="507"/>
      <c r="BE726" s="507"/>
      <c r="BF726" s="507"/>
      <c r="BG726" s="507"/>
      <c r="BH726" s="507"/>
      <c r="BI726" s="33"/>
      <c r="BJ726" s="12"/>
    </row>
    <row r="727" spans="1:62" ht="97.5" hidden="1" customHeight="1">
      <c r="A727" s="16">
        <f>OBRA!K725</f>
        <v>2023</v>
      </c>
      <c r="B727" s="781" t="s">
        <v>3947</v>
      </c>
      <c r="C727" s="781">
        <f>OBRA!L725</f>
        <v>233022</v>
      </c>
      <c r="D727" s="781" t="s">
        <v>2313</v>
      </c>
      <c r="E727" s="2" t="str">
        <f>OBRA!N725</f>
        <v>CUENTA CORRIENTE</v>
      </c>
      <c r="F727" s="512"/>
      <c r="G727" s="156" t="s">
        <v>2864</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6441</v>
      </c>
      <c r="M727" s="3" t="s">
        <v>6769</v>
      </c>
      <c r="N727" s="3" t="str">
        <f>OBRA!R725</f>
        <v>CHANTEPEC</v>
      </c>
      <c r="O727" s="505" t="s">
        <v>6557</v>
      </c>
      <c r="P727" s="4">
        <f>OBRA!S725</f>
        <v>580</v>
      </c>
      <c r="Q727" s="1045">
        <f t="shared" si="53"/>
        <v>500.00000000000006</v>
      </c>
      <c r="R727" s="79" t="s">
        <v>67</v>
      </c>
      <c r="S727" s="6">
        <f>OBRA!T725</f>
        <v>45204</v>
      </c>
      <c r="T727" s="1156" t="str">
        <f>OBRA!W725</f>
        <v>-</v>
      </c>
      <c r="U727" s="5">
        <f>OBRA!U725</f>
        <v>45208</v>
      </c>
      <c r="V727" s="11">
        <f>OBRA!V725</f>
        <v>45240</v>
      </c>
      <c r="W727" s="1557">
        <v>0</v>
      </c>
      <c r="X727" s="1119">
        <f>OBRA!AT725+OBRA!AU725</f>
        <v>0</v>
      </c>
      <c r="Y727" s="1040" t="s">
        <v>6791</v>
      </c>
      <c r="Z727" s="146" t="str">
        <f>OBRA!X725</f>
        <v xml:space="preserve">DORIA &amp; SAMPIER CONSTRUCTORA, S.A. DE C.V. </v>
      </c>
      <c r="AA727" s="146" t="s">
        <v>5669</v>
      </c>
      <c r="AB727" s="1816" t="s">
        <v>5610</v>
      </c>
      <c r="AC727" s="1817" t="s">
        <v>4404</v>
      </c>
      <c r="AD727" s="1816" t="s">
        <v>5611</v>
      </c>
      <c r="AE727" s="1818" t="str">
        <f>OBRA!Y725</f>
        <v>C. DANIEL RODRIGUEZ VALENZUELA</v>
      </c>
      <c r="AF727" s="19">
        <v>1</v>
      </c>
      <c r="AG727" s="1990" t="s">
        <v>6779</v>
      </c>
      <c r="AH727" s="184">
        <f>P727/AF727</f>
        <v>580</v>
      </c>
      <c r="AI727" s="511"/>
      <c r="AJ727" s="507"/>
      <c r="AK727" s="1991">
        <v>1</v>
      </c>
      <c r="AL727" s="626"/>
      <c r="AM727" s="1546"/>
      <c r="AN727" s="565"/>
      <c r="AO727" s="565"/>
      <c r="AP727" s="565"/>
      <c r="AQ727" s="507"/>
      <c r="AR727" s="507"/>
      <c r="AS727" s="512"/>
      <c r="AT727" s="507"/>
      <c r="AU727" s="507"/>
      <c r="AV727" s="507"/>
      <c r="AW727" s="507"/>
      <c r="AX727" s="507"/>
      <c r="AY727" s="507"/>
      <c r="AZ727" s="507"/>
      <c r="BA727" s="507"/>
      <c r="BB727" s="507"/>
      <c r="BC727" s="507"/>
      <c r="BD727" s="507"/>
      <c r="BE727" s="507"/>
      <c r="BF727" s="507"/>
      <c r="BG727" s="507"/>
      <c r="BH727" s="507"/>
      <c r="BI727" s="33"/>
      <c r="BJ727" s="12"/>
    </row>
    <row r="728" spans="1:62" ht="99.75" hidden="1" customHeight="1">
      <c r="A728" s="16">
        <f>OBRA!K726</f>
        <v>2023</v>
      </c>
      <c r="B728" s="781" t="s">
        <v>3947</v>
      </c>
      <c r="C728" s="781">
        <f>OBRA!L726</f>
        <v>233023</v>
      </c>
      <c r="D728" s="781" t="s">
        <v>2313</v>
      </c>
      <c r="E728" s="2" t="str">
        <f>OBRA!N726</f>
        <v>CUENTA CORRIENTE</v>
      </c>
      <c r="F728" s="512"/>
      <c r="G728" s="156" t="s">
        <v>2864</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6444</v>
      </c>
      <c r="M728" s="3" t="s">
        <v>6769</v>
      </c>
      <c r="N728" s="3" t="str">
        <f>OBRA!R726</f>
        <v>CHANTEPEC</v>
      </c>
      <c r="O728" s="505" t="s">
        <v>6557</v>
      </c>
      <c r="P728" s="4">
        <f>OBRA!S726</f>
        <v>580</v>
      </c>
      <c r="Q728" s="1045">
        <f t="shared" si="53"/>
        <v>500.00000000000006</v>
      </c>
      <c r="R728" s="79" t="s">
        <v>67</v>
      </c>
      <c r="S728" s="6">
        <f>OBRA!T726</f>
        <v>45204</v>
      </c>
      <c r="T728" s="1156" t="str">
        <f>OBRA!W726</f>
        <v>-</v>
      </c>
      <c r="U728" s="5">
        <f>OBRA!U726</f>
        <v>45208</v>
      </c>
      <c r="V728" s="11">
        <f>OBRA!V726</f>
        <v>45240</v>
      </c>
      <c r="W728" s="1557">
        <v>0</v>
      </c>
      <c r="X728" s="1119">
        <f>OBRA!AT726+OBRA!AU726</f>
        <v>0</v>
      </c>
      <c r="Y728" s="1040" t="s">
        <v>6791</v>
      </c>
      <c r="Z728" s="146" t="str">
        <f>OBRA!X726</f>
        <v xml:space="preserve">DORIA &amp; SAMPIER CONSTRUCTORA, S.A. DE C.V. </v>
      </c>
      <c r="AA728" s="146" t="s">
        <v>5669</v>
      </c>
      <c r="AB728" s="1816" t="s">
        <v>5610</v>
      </c>
      <c r="AC728" s="1817" t="s">
        <v>4404</v>
      </c>
      <c r="AD728" s="1816" t="s">
        <v>5611</v>
      </c>
      <c r="AE728" s="1818" t="str">
        <f>OBRA!Y726</f>
        <v>C. DANIEL RODRIGUEZ VALENZUELA</v>
      </c>
      <c r="AF728" s="19">
        <v>1</v>
      </c>
      <c r="AG728" s="1990" t="s">
        <v>6779</v>
      </c>
      <c r="AH728" s="184">
        <f>P728/AF728</f>
        <v>580</v>
      </c>
      <c r="AI728" s="511"/>
      <c r="AJ728" s="507"/>
      <c r="AK728" s="1991">
        <v>1</v>
      </c>
      <c r="AL728" s="626"/>
      <c r="AM728" s="1546"/>
      <c r="AN728" s="565"/>
      <c r="AO728" s="565"/>
      <c r="AP728" s="565"/>
      <c r="AQ728" s="507"/>
      <c r="AR728" s="507"/>
      <c r="AS728" s="512"/>
      <c r="AT728" s="507"/>
      <c r="AU728" s="507"/>
      <c r="AV728" s="507"/>
      <c r="AW728" s="507"/>
      <c r="AX728" s="507"/>
      <c r="AY728" s="507"/>
      <c r="AZ728" s="507"/>
      <c r="BA728" s="507"/>
      <c r="BB728" s="507"/>
      <c r="BC728" s="507"/>
      <c r="BD728" s="507"/>
      <c r="BE728" s="507"/>
      <c r="BF728" s="507"/>
      <c r="BG728" s="507"/>
      <c r="BH728" s="507"/>
      <c r="BI728" s="33"/>
      <c r="BJ728" s="12"/>
    </row>
    <row r="729" spans="1:62" s="104" customFormat="1" ht="46.5" hidden="1" customHeight="1">
      <c r="A729" s="82">
        <f>OBRA!K727</f>
        <v>2023</v>
      </c>
      <c r="B729" s="782" t="s">
        <v>3947</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3"/>
        <v>0</v>
      </c>
      <c r="R729" s="86" t="s">
        <v>67</v>
      </c>
      <c r="S729" s="87">
        <f>OBRA!T727</f>
        <v>0</v>
      </c>
      <c r="T729" s="1438" t="str">
        <f>OBRA!W727</f>
        <v>-</v>
      </c>
      <c r="U729" s="88">
        <f>OBRA!U727</f>
        <v>0</v>
      </c>
      <c r="V729" s="89">
        <f>OBRA!V727</f>
        <v>0</v>
      </c>
      <c r="W729" s="826"/>
      <c r="X729" s="1459">
        <f>OBRA!AT727+OBRA!AU727</f>
        <v>0</v>
      </c>
      <c r="Y729" s="1038"/>
      <c r="Z729" s="147">
        <f>OBRA!X727</f>
        <v>0</v>
      </c>
      <c r="AA729" s="147"/>
      <c r="AB729" s="1820">
        <f t="shared" ref="AB729:AB736" si="54">Z729</f>
        <v>0</v>
      </c>
      <c r="AC729" s="1821"/>
      <c r="AD729" s="1820"/>
      <c r="AE729" s="1822" t="str">
        <f>OBRA!Y727</f>
        <v>ARQ. FRANCISCO SALAZAR</v>
      </c>
      <c r="AF729" s="84"/>
      <c r="AG729" s="85"/>
      <c r="AH729" s="1740" t="e">
        <f t="shared" ref="AH729:AH735" si="55">X729/AF729</f>
        <v>#DIV/0!</v>
      </c>
      <c r="AI729" s="85"/>
      <c r="AJ729" s="515"/>
      <c r="AK729" s="515"/>
      <c r="AL729" s="1544"/>
      <c r="AM729" s="1545"/>
      <c r="AN729" s="821"/>
      <c r="AO729" s="821"/>
      <c r="AP729" s="821"/>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customHeight="1">
      <c r="A730" s="2190">
        <f>OBRA!K728</f>
        <v>2023</v>
      </c>
      <c r="B730" s="2191" t="s">
        <v>3947</v>
      </c>
      <c r="C730" s="781">
        <f>OBRA!L728</f>
        <v>234001</v>
      </c>
      <c r="D730" s="781" t="s">
        <v>2313</v>
      </c>
      <c r="E730" s="2192" t="str">
        <f>OBRA!N728</f>
        <v>CUENTA CORRIENTE</v>
      </c>
      <c r="F730" s="662" t="s">
        <v>1427</v>
      </c>
      <c r="G730" s="2193" t="s">
        <v>2209</v>
      </c>
      <c r="H730" s="2197" t="str">
        <f>OBRA!O728</f>
        <v>DOP/AD/001/2023</v>
      </c>
      <c r="I730" s="2192" t="str">
        <f>OBRA!P728</f>
        <v>ADMINISTRACIÓN DIRECTA</v>
      </c>
      <c r="J730" s="2195" t="str">
        <f>OBRA!Q728</f>
        <v>"CONSTRUCCIÓN DE REDES HIDROSANITARIAS EN CALLE FILÓSOFOS ENTRE CALLE JOSEFA ORTÍZ DE DOMINGUEZ E HIDALGO", EN LA CABECERA MUNICIPAL DE JOCOTEPEC, JALISCO</v>
      </c>
      <c r="K730" s="2195"/>
      <c r="L730" s="3" t="s">
        <v>6258</v>
      </c>
      <c r="M730" s="2195" t="s">
        <v>6055</v>
      </c>
      <c r="N730" s="2195" t="str">
        <f>OBRA!R728</f>
        <v>CABECERA MUNICIPAL</v>
      </c>
      <c r="O730" s="505" t="s">
        <v>6056</v>
      </c>
      <c r="P730" s="79">
        <f>OBRA!S728</f>
        <v>307647.35999999999</v>
      </c>
      <c r="Q730" s="1045">
        <f t="shared" si="53"/>
        <v>265213.24137931038</v>
      </c>
      <c r="R730" s="1762" t="s">
        <v>67</v>
      </c>
      <c r="S730" s="67">
        <f>OBRA!T728</f>
        <v>44967</v>
      </c>
      <c r="T730" s="1156" t="str">
        <f>OBRA!W728</f>
        <v>-</v>
      </c>
      <c r="U730" s="2207">
        <f>OBRA!U728</f>
        <v>44968</v>
      </c>
      <c r="V730" s="2208">
        <f>OBRA!V728</f>
        <v>44985</v>
      </c>
      <c r="W730" s="2209">
        <v>0</v>
      </c>
      <c r="X730" s="2210">
        <f>OBRA!AT728+OBRA!AU728</f>
        <v>300805.58</v>
      </c>
      <c r="Y730" s="2211" t="s">
        <v>4165</v>
      </c>
      <c r="Z730" s="2212" t="str">
        <f>OBRA!X728</f>
        <v>-</v>
      </c>
      <c r="AA730" s="2212" t="s">
        <v>67</v>
      </c>
      <c r="AB730" s="2213" t="str">
        <f t="shared" si="54"/>
        <v>-</v>
      </c>
      <c r="AC730" s="2212" t="s">
        <v>67</v>
      </c>
      <c r="AD730" s="2213" t="s">
        <v>67</v>
      </c>
      <c r="AE730" s="2214" t="str">
        <f>OBRA!Y728</f>
        <v>C. DANIEL RODRIGUEZ VALENZUELA</v>
      </c>
      <c r="AF730" s="2215">
        <f>74.06+74.86</f>
        <v>148.92000000000002</v>
      </c>
      <c r="AG730" s="2192" t="s">
        <v>1450</v>
      </c>
      <c r="AH730" s="2216">
        <f t="shared" si="55"/>
        <v>2019.9139135106095</v>
      </c>
      <c r="AI730" s="2192">
        <v>50</v>
      </c>
      <c r="AJ730" s="2192">
        <v>150</v>
      </c>
      <c r="AK730" s="1991">
        <v>1</v>
      </c>
      <c r="AL730" s="2220">
        <v>20.291288000000002</v>
      </c>
      <c r="AM730" s="2221">
        <v>103.43022499999999</v>
      </c>
      <c r="AN730" s="563" t="s">
        <v>6056</v>
      </c>
      <c r="AO730" s="563" t="s">
        <v>6056</v>
      </c>
      <c r="AP730" s="563" t="s">
        <v>6056</v>
      </c>
      <c r="AQ730" s="502" t="s">
        <v>6056</v>
      </c>
      <c r="AR730" s="502"/>
      <c r="AS730" s="697" t="s">
        <v>6056</v>
      </c>
      <c r="AT730" s="1869">
        <v>100600.51</v>
      </c>
      <c r="AU730" s="1869"/>
      <c r="AV730" s="1869">
        <f>164612.73</f>
        <v>164612.73000000001</v>
      </c>
      <c r="AW730" s="1869">
        <v>0</v>
      </c>
      <c r="AX730" s="1869">
        <v>0</v>
      </c>
      <c r="AY730" s="1869">
        <v>0</v>
      </c>
      <c r="AZ730" s="1869"/>
      <c r="BA730" s="1869">
        <v>0</v>
      </c>
      <c r="BB730" s="2">
        <v>101.23</v>
      </c>
      <c r="BC730" s="2"/>
      <c r="BD730" s="2">
        <v>105.8</v>
      </c>
      <c r="BE730" s="2"/>
      <c r="BF730" s="2">
        <v>0</v>
      </c>
      <c r="BG730" s="2">
        <v>0</v>
      </c>
      <c r="BH730" s="413"/>
      <c r="BI730" s="413" t="s">
        <v>550</v>
      </c>
      <c r="BJ730" s="12"/>
    </row>
    <row r="731" spans="1:62" ht="65.25" customHeight="1">
      <c r="A731" s="2190">
        <f>OBRA!K729</f>
        <v>2023</v>
      </c>
      <c r="B731" s="2191" t="s">
        <v>3947</v>
      </c>
      <c r="C731" s="781">
        <f>OBRA!L729</f>
        <v>234002</v>
      </c>
      <c r="D731" s="781" t="s">
        <v>2313</v>
      </c>
      <c r="E731" s="2192" t="str">
        <f>OBRA!N729</f>
        <v>REGULARIZACIÓN DE VEHÍCULOS DE PROCEDENCIA EXTRANJERA - RAMO 23/2022</v>
      </c>
      <c r="F731" s="662" t="s">
        <v>1427</v>
      </c>
      <c r="G731" s="2193" t="s">
        <v>2209</v>
      </c>
      <c r="H731" s="2197" t="str">
        <f>OBRA!O729</f>
        <v>DOP/AD/002/2023</v>
      </c>
      <c r="I731" s="2192" t="str">
        <f>OBRA!P729</f>
        <v>ADMINISTRACIÓN DIRECTA</v>
      </c>
      <c r="J731" s="2195" t="str">
        <f>OBRA!Q729</f>
        <v>"BACHEO SUPERFICIAL AISLADO EN CALLE INDEPENDENCIA NORTE ENTRE C. MORELOS Y C. DEGOLLADO", EN LA CABECERA MUNICIPAL DE JOCOTEPEC, JALISCO.</v>
      </c>
      <c r="K731" s="2195"/>
      <c r="L731" s="3" t="s">
        <v>6259</v>
      </c>
      <c r="M731" s="2195" t="s">
        <v>6057</v>
      </c>
      <c r="N731" s="2195" t="str">
        <f>OBRA!R729</f>
        <v>CABECERA MUNICIPAL</v>
      </c>
      <c r="O731" s="505" t="s">
        <v>6058</v>
      </c>
      <c r="P731" s="79">
        <f>OBRA!S729</f>
        <v>27472.5</v>
      </c>
      <c r="Q731" s="1045">
        <f t="shared" si="53"/>
        <v>23683.189655172417</v>
      </c>
      <c r="R731" s="1762" t="s">
        <v>67</v>
      </c>
      <c r="S731" s="67">
        <f>OBRA!T729</f>
        <v>45033</v>
      </c>
      <c r="T731" s="1156" t="str">
        <f>OBRA!W729</f>
        <v>-</v>
      </c>
      <c r="U731" s="2207">
        <f>OBRA!U729</f>
        <v>45036</v>
      </c>
      <c r="V731" s="2208">
        <f>OBRA!V729</f>
        <v>45038</v>
      </c>
      <c r="W731" s="2209">
        <v>0</v>
      </c>
      <c r="X731" s="2210">
        <f>OBRA!AT729+OBRA!AU729</f>
        <v>27472.5</v>
      </c>
      <c r="Y731" s="2211" t="s">
        <v>6059</v>
      </c>
      <c r="Z731" s="2212" t="str">
        <f>OBRA!X729</f>
        <v>-</v>
      </c>
      <c r="AA731" s="2212" t="s">
        <v>67</v>
      </c>
      <c r="AB731" s="2213" t="str">
        <f t="shared" si="54"/>
        <v>-</v>
      </c>
      <c r="AC731" s="2212" t="s">
        <v>67</v>
      </c>
      <c r="AD731" s="2213" t="s">
        <v>67</v>
      </c>
      <c r="AE731" s="2214" t="str">
        <f>OBRA!Y729</f>
        <v>ARQ. JAIME CONDE GOMEZ</v>
      </c>
      <c r="AF731" s="2215">
        <v>6.4</v>
      </c>
      <c r="AG731" s="2192" t="s">
        <v>1548</v>
      </c>
      <c r="AH731" s="2216">
        <f t="shared" si="55"/>
        <v>4292.578125</v>
      </c>
      <c r="AI731" s="2192">
        <v>200</v>
      </c>
      <c r="AJ731" s="2192">
        <v>1000</v>
      </c>
      <c r="AK731" s="1991">
        <v>1</v>
      </c>
      <c r="AL731" s="2220">
        <v>20.287303999999999</v>
      </c>
      <c r="AM731" s="2221">
        <v>103.432309</v>
      </c>
      <c r="AN731" s="563" t="s">
        <v>6058</v>
      </c>
      <c r="AO731" s="563" t="s">
        <v>6058</v>
      </c>
      <c r="AP731" s="563" t="s">
        <v>6058</v>
      </c>
      <c r="AQ731" s="2219"/>
      <c r="AR731" s="2219"/>
      <c r="AS731" s="697" t="s">
        <v>6058</v>
      </c>
      <c r="AT731" s="1926">
        <v>0</v>
      </c>
      <c r="AU731" s="1926">
        <v>0</v>
      </c>
      <c r="AV731" s="1926">
        <v>0</v>
      </c>
      <c r="AW731" s="1926">
        <v>0</v>
      </c>
      <c r="AX731" s="1926">
        <v>0</v>
      </c>
      <c r="AY731" s="1926">
        <v>0</v>
      </c>
      <c r="AZ731" s="1926">
        <v>0</v>
      </c>
      <c r="BA731" s="1926">
        <v>0</v>
      </c>
      <c r="BB731" s="1111">
        <v>0</v>
      </c>
      <c r="BC731" s="1111">
        <v>0</v>
      </c>
      <c r="BD731" s="1111">
        <v>0</v>
      </c>
      <c r="BE731" s="1111">
        <v>0</v>
      </c>
      <c r="BF731" s="1111">
        <v>0</v>
      </c>
      <c r="BG731" s="1111">
        <v>0</v>
      </c>
      <c r="BH731" s="1111">
        <v>0</v>
      </c>
      <c r="BI731" s="33" t="s">
        <v>550</v>
      </c>
      <c r="BJ731" s="12"/>
    </row>
    <row r="732" spans="1:62" ht="90" customHeight="1">
      <c r="A732" s="2190">
        <f>OBRA!K730</f>
        <v>2023</v>
      </c>
      <c r="B732" s="2191" t="s">
        <v>3947</v>
      </c>
      <c r="C732" s="781">
        <f>OBRA!L730</f>
        <v>234003</v>
      </c>
      <c r="D732" s="781" t="s">
        <v>2313</v>
      </c>
      <c r="E732" s="2192" t="str">
        <f>OBRA!N730</f>
        <v>CUENTA CORRIENTE</v>
      </c>
      <c r="F732" s="662" t="s">
        <v>1427</v>
      </c>
      <c r="G732" s="2193" t="s">
        <v>2209</v>
      </c>
      <c r="H732" s="2197" t="str">
        <f>OBRA!O730</f>
        <v>DOP/AD/003/2023</v>
      </c>
      <c r="I732" s="2192" t="str">
        <f>OBRA!P730</f>
        <v>ADMINISTRACIÓN DIRECTA</v>
      </c>
      <c r="J732" s="2195" t="str">
        <f>OBRA!Q730</f>
        <v>REHABILITACIÓN DE REDES HIDROSANITARIAS Y COLECTOR DE CALLE RIVERA DEL LAGO ENTRE CALLE GUAYABITOS Y CALLE CHUECA", EN LA LOCALIDAD DE CHANTEPEC, MUNICIPIO DE JOCOTEPEC, JALISCO.</v>
      </c>
      <c r="K732" s="2195"/>
      <c r="L732" s="3" t="s">
        <v>6258</v>
      </c>
      <c r="M732" s="2195" t="s">
        <v>4562</v>
      </c>
      <c r="N732" s="2195" t="str">
        <f>OBRA!R730</f>
        <v>CHANTEPEC</v>
      </c>
      <c r="O732" s="505" t="s">
        <v>6060</v>
      </c>
      <c r="P732" s="79">
        <f>OBRA!S730</f>
        <v>495788.04</v>
      </c>
      <c r="Q732" s="1045">
        <f t="shared" si="53"/>
        <v>427403.4827586207</v>
      </c>
      <c r="R732" s="1762" t="s">
        <v>67</v>
      </c>
      <c r="S732" s="67">
        <f>OBRA!T730</f>
        <v>45557</v>
      </c>
      <c r="T732" s="1156" t="str">
        <f>OBRA!W730</f>
        <v>-</v>
      </c>
      <c r="U732" s="2207">
        <f>OBRA!U730</f>
        <v>45208</v>
      </c>
      <c r="V732" s="2208">
        <f>OBRA!V730</f>
        <v>45240</v>
      </c>
      <c r="W732" s="2209">
        <v>0</v>
      </c>
      <c r="X732" s="2210">
        <f>OBRA!AT730+OBRA!AU730</f>
        <v>336906.02</v>
      </c>
      <c r="Y732" s="2211" t="s">
        <v>6061</v>
      </c>
      <c r="Z732" s="2212" t="str">
        <f>OBRA!X730</f>
        <v>-</v>
      </c>
      <c r="AA732" s="2212" t="s">
        <v>67</v>
      </c>
      <c r="AB732" s="2213" t="str">
        <f t="shared" si="54"/>
        <v>-</v>
      </c>
      <c r="AC732" s="2212" t="s">
        <v>67</v>
      </c>
      <c r="AD732" s="2213" t="s">
        <v>67</v>
      </c>
      <c r="AE732" s="2214" t="str">
        <f>OBRA!Y730</f>
        <v>C. DANIEL RODRIGUEZ VALENZUELA</v>
      </c>
      <c r="AF732" s="2215">
        <f>85.85+68.37</f>
        <v>154.22</v>
      </c>
      <c r="AG732" s="2192" t="s">
        <v>1450</v>
      </c>
      <c r="AH732" s="2216">
        <f t="shared" si="55"/>
        <v>2184.5805991440802</v>
      </c>
      <c r="AI732" s="2192">
        <v>50</v>
      </c>
      <c r="AJ732" s="2192">
        <v>150</v>
      </c>
      <c r="AK732" s="1991">
        <v>1</v>
      </c>
      <c r="AL732" s="2220">
        <v>20.289489</v>
      </c>
      <c r="AM732" s="2221">
        <v>103.411506</v>
      </c>
      <c r="AN732" s="563" t="s">
        <v>6060</v>
      </c>
      <c r="AO732" s="563" t="s">
        <v>6060</v>
      </c>
      <c r="AP732" s="563" t="s">
        <v>6060</v>
      </c>
      <c r="AQ732" s="502" t="s">
        <v>6060</v>
      </c>
      <c r="AR732" s="502"/>
      <c r="AS732" s="697" t="s">
        <v>6060</v>
      </c>
      <c r="AT732" s="1869">
        <f>83915.29*1.16</f>
        <v>97341.73639999998</v>
      </c>
      <c r="AU732" s="1869"/>
      <c r="AV732" s="1869">
        <f>176820.07*1.16</f>
        <v>205111.2812</v>
      </c>
      <c r="AW732" s="1869">
        <f>101502.12*1.16</f>
        <v>117742.45919999998</v>
      </c>
      <c r="AX732" s="1869">
        <f>19182.58*1.16</f>
        <v>22251.792799999999</v>
      </c>
      <c r="AY732" s="1869">
        <v>0</v>
      </c>
      <c r="AZ732" s="1869"/>
      <c r="BA732" s="1869">
        <v>0</v>
      </c>
      <c r="BB732" s="2">
        <v>97.67</v>
      </c>
      <c r="BC732" s="2"/>
      <c r="BD732" s="2">
        <v>100.29</v>
      </c>
      <c r="BE732" s="2">
        <v>97.31</v>
      </c>
      <c r="BF732" s="2">
        <v>237.99</v>
      </c>
      <c r="BG732" s="2">
        <v>0</v>
      </c>
      <c r="BH732" s="413"/>
      <c r="BI732" s="413"/>
      <c r="BJ732" s="12"/>
    </row>
    <row r="733" spans="1:62" ht="72" customHeight="1">
      <c r="A733" s="2190">
        <f>OBRA!K731</f>
        <v>2023</v>
      </c>
      <c r="B733" s="2191" t="s">
        <v>3947</v>
      </c>
      <c r="C733" s="781">
        <f>OBRA!L731</f>
        <v>234004</v>
      </c>
      <c r="D733" s="781" t="s">
        <v>2313</v>
      </c>
      <c r="E733" s="2192" t="str">
        <f>OBRA!N731</f>
        <v>CUENTA CORRIENTE</v>
      </c>
      <c r="F733" s="662" t="s">
        <v>1427</v>
      </c>
      <c r="G733" s="2193" t="s">
        <v>2209</v>
      </c>
      <c r="H733" s="2197" t="str">
        <f>OBRA!O731</f>
        <v>DOP/AD/004/2023</v>
      </c>
      <c r="I733" s="2192" t="str">
        <f>OBRA!P731</f>
        <v>ADMINISTRACIÓN DIRECTA</v>
      </c>
      <c r="J733" s="2195" t="str">
        <f>OBRA!Q731</f>
        <v>"IMPERMEABILIZACIÓN DE CUPULAS EN EL TEMPLO DEL SR. DEL MONTE", EN LA CABECERA MUNICIPAL DE JOCOTEPEC, JALISCO.</v>
      </c>
      <c r="K733" s="2195"/>
      <c r="L733" s="3" t="s">
        <v>6242</v>
      </c>
      <c r="M733" s="2195" t="s">
        <v>3979</v>
      </c>
      <c r="N733" s="2195" t="str">
        <f>OBRA!R731</f>
        <v>CABECERA MUNICIPAL</v>
      </c>
      <c r="O733" s="505" t="s">
        <v>6062</v>
      </c>
      <c r="P733" s="79">
        <f>OBRA!S731</f>
        <v>80000</v>
      </c>
      <c r="Q733" s="1045">
        <f t="shared" si="53"/>
        <v>68965.517241379319</v>
      </c>
      <c r="R733" s="1762" t="s">
        <v>67</v>
      </c>
      <c r="S733" s="67">
        <f>OBRA!T731</f>
        <v>45191</v>
      </c>
      <c r="T733" s="1156" t="str">
        <f>OBRA!W731</f>
        <v>-</v>
      </c>
      <c r="U733" s="2207">
        <f>OBRA!U731</f>
        <v>45201</v>
      </c>
      <c r="V733" s="2208">
        <f>OBRA!V731</f>
        <v>45227</v>
      </c>
      <c r="W733" s="2209">
        <v>0</v>
      </c>
      <c r="X733" s="2210">
        <f>OBRA!AT731+OBRA!AU731</f>
        <v>68064.55</v>
      </c>
      <c r="Y733" s="2211" t="s">
        <v>4165</v>
      </c>
      <c r="Z733" s="2212" t="str">
        <f>OBRA!X731</f>
        <v>-</v>
      </c>
      <c r="AA733" s="2212" t="s">
        <v>67</v>
      </c>
      <c r="AB733" s="2213" t="str">
        <f t="shared" si="54"/>
        <v>-</v>
      </c>
      <c r="AC733" s="2212" t="s">
        <v>67</v>
      </c>
      <c r="AD733" s="2213" t="s">
        <v>67</v>
      </c>
      <c r="AE733" s="2214" t="str">
        <f>OBRA!Y731</f>
        <v>C. DANIEL RODRIGUEZ VALENZUELA</v>
      </c>
      <c r="AF733" s="2215">
        <v>126</v>
      </c>
      <c r="AG733" s="2192" t="s">
        <v>1548</v>
      </c>
      <c r="AH733" s="2216">
        <f t="shared" si="55"/>
        <v>540.19484126984128</v>
      </c>
      <c r="AI733" s="2192">
        <v>10000</v>
      </c>
      <c r="AJ733" s="2222">
        <v>10000</v>
      </c>
      <c r="AK733" s="1991">
        <v>1</v>
      </c>
      <c r="AL733" s="2220">
        <v>20.285446</v>
      </c>
      <c r="AM733" s="2221">
        <v>103.429621</v>
      </c>
      <c r="AN733" s="563" t="s">
        <v>6062</v>
      </c>
      <c r="AO733" s="563" t="s">
        <v>6062</v>
      </c>
      <c r="AP733" s="563" t="s">
        <v>6062</v>
      </c>
      <c r="AQ733" s="502" t="s">
        <v>6062</v>
      </c>
      <c r="AR733" s="502"/>
      <c r="AS733" s="697" t="s">
        <v>6063</v>
      </c>
      <c r="AT733" s="1926">
        <v>0</v>
      </c>
      <c r="AU733" s="1926">
        <v>0</v>
      </c>
      <c r="AV733" s="1926">
        <v>0</v>
      </c>
      <c r="AW733" s="1926">
        <v>0</v>
      </c>
      <c r="AX733" s="1926">
        <v>0</v>
      </c>
      <c r="AY733" s="1926">
        <v>0</v>
      </c>
      <c r="AZ733" s="1926">
        <v>0</v>
      </c>
      <c r="BA733" s="1926">
        <v>0</v>
      </c>
      <c r="BB733" s="1111">
        <v>0</v>
      </c>
      <c r="BC733" s="1111">
        <v>0</v>
      </c>
      <c r="BD733" s="1111">
        <v>0</v>
      </c>
      <c r="BE733" s="1111">
        <v>0</v>
      </c>
      <c r="BF733" s="1111">
        <v>0</v>
      </c>
      <c r="BG733" s="1111">
        <v>0</v>
      </c>
      <c r="BH733" s="1111">
        <v>0</v>
      </c>
      <c r="BI733" s="33" t="s">
        <v>550</v>
      </c>
      <c r="BJ733" s="12"/>
    </row>
    <row r="734" spans="1:62" ht="91.5" customHeight="1">
      <c r="A734" s="2190">
        <f>OBRA!K732</f>
        <v>2023</v>
      </c>
      <c r="B734" s="2191" t="s">
        <v>3947</v>
      </c>
      <c r="C734" s="781">
        <f>OBRA!L732</f>
        <v>234005</v>
      </c>
      <c r="D734" s="781" t="s">
        <v>2313</v>
      </c>
      <c r="E734" s="2192" t="str">
        <f>OBRA!N732</f>
        <v>REGULARIZACIÓN DE VEHÍCULOS DE PROCEDENCIA EXTRANJERA - RAMO 23/2023</v>
      </c>
      <c r="F734" s="662" t="s">
        <v>1427</v>
      </c>
      <c r="G734" s="2193" t="s">
        <v>2209</v>
      </c>
      <c r="H734" s="2197" t="str">
        <f>OBRA!O732</f>
        <v>DOP/AD/005/2023</v>
      </c>
      <c r="I734" s="2192" t="str">
        <f>OBRA!P732</f>
        <v>ADMINISTRACIÓN DIRECTA</v>
      </c>
      <c r="J734" s="2195" t="str">
        <f>OBRA!Q732</f>
        <v>"BACHEO SUPERFICIAL AISLADO DE MEZCLA ASFÁLTICA EN LA CALLE MORELOS ENTRE CALLE NIÑOS HÉROES YCALLE ZARAGOZA EN EL BARRIO LA CALABAZA" DE LA CABECERA MUNICIPAL DE JOCOTEPEC, MUNICIPIO DE JOCOTEPEC, JALISCO.</v>
      </c>
      <c r="K734" s="2195"/>
      <c r="L734" s="3" t="s">
        <v>6259</v>
      </c>
      <c r="M734" s="2195" t="s">
        <v>6064</v>
      </c>
      <c r="N734" s="2195" t="str">
        <f>OBRA!R732</f>
        <v>CABECERA MUNICIPAL</v>
      </c>
      <c r="O734" s="505" t="s">
        <v>6065</v>
      </c>
      <c r="P734" s="79">
        <f>OBRA!S732</f>
        <v>92407.5</v>
      </c>
      <c r="Q734" s="1045">
        <f t="shared" si="53"/>
        <v>79661.637931034493</v>
      </c>
      <c r="R734" s="1762" t="s">
        <v>67</v>
      </c>
      <c r="S734" s="67">
        <f>OBRA!T732</f>
        <v>45244</v>
      </c>
      <c r="T734" s="1156" t="str">
        <f>OBRA!W732</f>
        <v>-</v>
      </c>
      <c r="U734" s="2207">
        <f>OBRA!U732</f>
        <v>45264</v>
      </c>
      <c r="V734" s="2208">
        <f>OBRA!V732</f>
        <v>45268</v>
      </c>
      <c r="W734" s="2209">
        <v>0</v>
      </c>
      <c r="X734" s="2210">
        <f>OBRA!AT732+OBRA!AU732</f>
        <v>94407.21</v>
      </c>
      <c r="Y734" s="2211" t="s">
        <v>6059</v>
      </c>
      <c r="Z734" s="2212" t="str">
        <f>OBRA!X732</f>
        <v>-</v>
      </c>
      <c r="AA734" s="2212" t="s">
        <v>67</v>
      </c>
      <c r="AB734" s="2213" t="str">
        <f t="shared" si="54"/>
        <v>-</v>
      </c>
      <c r="AC734" s="2212" t="s">
        <v>67</v>
      </c>
      <c r="AD734" s="2213" t="s">
        <v>67</v>
      </c>
      <c r="AE734" s="2214" t="str">
        <f>OBRA!Y732</f>
        <v>ING. LUIS RIGOBERTO OLMEDO NAVARRO</v>
      </c>
      <c r="AF734" s="2215">
        <v>238.5</v>
      </c>
      <c r="AG734" s="2192" t="s">
        <v>1548</v>
      </c>
      <c r="AH734" s="2216">
        <f t="shared" si="55"/>
        <v>395.83735849056609</v>
      </c>
      <c r="AI734" s="2192">
        <v>200</v>
      </c>
      <c r="AJ734" s="2222">
        <v>22000</v>
      </c>
      <c r="AK734" s="1991">
        <v>1</v>
      </c>
      <c r="AL734" s="2220">
        <v>20.286904</v>
      </c>
      <c r="AM734" s="2221">
        <v>103.43566800000001</v>
      </c>
      <c r="AN734" s="563" t="s">
        <v>6065</v>
      </c>
      <c r="AO734" s="563" t="s">
        <v>6065</v>
      </c>
      <c r="AP734" s="563" t="s">
        <v>6065</v>
      </c>
      <c r="AQ734" s="502" t="s">
        <v>6065</v>
      </c>
      <c r="AR734" s="502"/>
      <c r="AS734" s="697" t="s">
        <v>6065</v>
      </c>
      <c r="AT734" s="1926">
        <v>0</v>
      </c>
      <c r="AU734" s="1926">
        <v>0</v>
      </c>
      <c r="AV734" s="1926">
        <v>0</v>
      </c>
      <c r="AW734" s="1926">
        <v>0</v>
      </c>
      <c r="AX734" s="1926">
        <v>0</v>
      </c>
      <c r="AY734" s="1926">
        <v>0</v>
      </c>
      <c r="AZ734" s="1926">
        <v>0</v>
      </c>
      <c r="BA734" s="1926">
        <v>0</v>
      </c>
      <c r="BB734" s="1111">
        <v>0</v>
      </c>
      <c r="BC734" s="1111">
        <v>0</v>
      </c>
      <c r="BD734" s="1111">
        <v>0</v>
      </c>
      <c r="BE734" s="1111">
        <v>0</v>
      </c>
      <c r="BF734" s="1111">
        <v>0</v>
      </c>
      <c r="BG734" s="1111">
        <v>0</v>
      </c>
      <c r="BH734" s="1111">
        <v>0</v>
      </c>
      <c r="BI734" s="33" t="s">
        <v>550</v>
      </c>
      <c r="BJ734" s="12"/>
    </row>
    <row r="735" spans="1:62" ht="75.75" customHeight="1">
      <c r="A735" s="2190">
        <f>OBRA!K733</f>
        <v>2023</v>
      </c>
      <c r="B735" s="2191" t="s">
        <v>3947</v>
      </c>
      <c r="C735" s="781">
        <f>OBRA!L733</f>
        <v>234006</v>
      </c>
      <c r="D735" s="781" t="s">
        <v>2313</v>
      </c>
      <c r="E735" s="2192" t="str">
        <f>OBRA!N733</f>
        <v>CUENTA CORRIENTE</v>
      </c>
      <c r="F735" s="662" t="s">
        <v>1427</v>
      </c>
      <c r="G735" s="2193" t="s">
        <v>2209</v>
      </c>
      <c r="H735" s="2197" t="str">
        <f>OBRA!O733</f>
        <v>DOP/AD/006/2023</v>
      </c>
      <c r="I735" s="2192" t="str">
        <f>OBRA!P733</f>
        <v>ADMINISTRACIÓN DIRECTA</v>
      </c>
      <c r="J735" s="2195" t="str">
        <f>OBRA!Q733</f>
        <v>"EXTENSIÓN DE RED DE AGUA POTABLE DE 4" DE DIAMETRO EN LA CALLE CHUECA" EN LA LOCALIDAD DE CHANTEPEC, MUNICIPIO DE JOCOTEPEC, JALISCO.</v>
      </c>
      <c r="K735" s="2195"/>
      <c r="L735" s="3" t="s">
        <v>4748</v>
      </c>
      <c r="M735" s="2195" t="s">
        <v>4023</v>
      </c>
      <c r="N735" s="2195" t="str">
        <f>OBRA!R733</f>
        <v>CHANTEPEC</v>
      </c>
      <c r="O735" s="505"/>
      <c r="P735" s="79">
        <f>OBRA!S733</f>
        <v>280000</v>
      </c>
      <c r="Q735" s="1045">
        <f t="shared" si="53"/>
        <v>241379.31034482759</v>
      </c>
      <c r="R735" s="1762" t="s">
        <v>67</v>
      </c>
      <c r="S735" s="67">
        <f>OBRA!T733</f>
        <v>45257</v>
      </c>
      <c r="T735" s="1156" t="str">
        <f>OBRA!W733</f>
        <v>-</v>
      </c>
      <c r="U735" s="2207">
        <f>OBRA!U733</f>
        <v>45264</v>
      </c>
      <c r="V735" s="2208">
        <f>OBRA!V733</f>
        <v>45288</v>
      </c>
      <c r="W735" s="2209">
        <v>0</v>
      </c>
      <c r="X735" s="2210">
        <f>OBRA!AT733+OBRA!AU733</f>
        <v>280385.88</v>
      </c>
      <c r="Y735" s="2211" t="s">
        <v>6059</v>
      </c>
      <c r="Z735" s="2212" t="str">
        <f>OBRA!X733</f>
        <v>-</v>
      </c>
      <c r="AA735" s="2212" t="s">
        <v>67</v>
      </c>
      <c r="AB735" s="2213" t="str">
        <f t="shared" si="54"/>
        <v>-</v>
      </c>
      <c r="AC735" s="2212" t="s">
        <v>67</v>
      </c>
      <c r="AD735" s="2213" t="s">
        <v>67</v>
      </c>
      <c r="AE735" s="2214" t="str">
        <f>OBRA!Y733</f>
        <v>C. DANIEL RODRIGUEZ VALENZUELA</v>
      </c>
      <c r="AF735" s="2215"/>
      <c r="AG735" s="2192" t="s">
        <v>1450</v>
      </c>
      <c r="AH735" s="2216" t="e">
        <f t="shared" si="55"/>
        <v>#DIV/0!</v>
      </c>
      <c r="AI735" s="2192">
        <v>200</v>
      </c>
      <c r="AJ735" s="2222">
        <v>200</v>
      </c>
      <c r="AK735" s="1991">
        <v>1</v>
      </c>
      <c r="AL735" s="2220">
        <v>20.289840000000002</v>
      </c>
      <c r="AM735" s="2223">
        <v>103.410499</v>
      </c>
      <c r="AN735" s="2224"/>
      <c r="AO735" s="563"/>
      <c r="AP735" s="563"/>
      <c r="AQ735" s="2219"/>
      <c r="AR735" s="2219"/>
      <c r="AS735" s="2217"/>
      <c r="AT735" s="1926">
        <v>0</v>
      </c>
      <c r="AU735" s="1926">
        <v>0</v>
      </c>
      <c r="AV735" s="1926">
        <v>0</v>
      </c>
      <c r="AW735" s="1926">
        <v>0</v>
      </c>
      <c r="AX735" s="1926">
        <v>0</v>
      </c>
      <c r="AY735" s="1926">
        <v>0</v>
      </c>
      <c r="AZ735" s="1926">
        <v>0</v>
      </c>
      <c r="BA735" s="1926">
        <v>0</v>
      </c>
      <c r="BB735" s="1111">
        <v>0</v>
      </c>
      <c r="BC735" s="1111">
        <v>0</v>
      </c>
      <c r="BD735" s="1111">
        <v>0</v>
      </c>
      <c r="BE735" s="1111">
        <v>0</v>
      </c>
      <c r="BF735" s="1111">
        <v>0</v>
      </c>
      <c r="BG735" s="1111">
        <v>0</v>
      </c>
      <c r="BH735" s="1111">
        <v>0</v>
      </c>
      <c r="BI735" s="33" t="s">
        <v>550</v>
      </c>
      <c r="BJ735" s="12"/>
    </row>
    <row r="736" spans="1:62" s="104" customFormat="1" ht="24.95" hidden="1" customHeight="1">
      <c r="A736" s="82">
        <f>OBRA!K734</f>
        <v>2023</v>
      </c>
      <c r="B736" s="782" t="s">
        <v>3947</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4023</v>
      </c>
      <c r="N736" s="125" t="str">
        <f>OBRA!R734</f>
        <v>-</v>
      </c>
      <c r="O736" s="817"/>
      <c r="P736" s="86">
        <f>OBRA!S734</f>
        <v>0</v>
      </c>
      <c r="Q736" s="86">
        <f t="shared" si="53"/>
        <v>0</v>
      </c>
      <c r="R736" s="86" t="s">
        <v>67</v>
      </c>
      <c r="S736" s="87">
        <f>OBRA!T734</f>
        <v>0</v>
      </c>
      <c r="T736" s="1438" t="str">
        <f>OBRA!W734</f>
        <v>-</v>
      </c>
      <c r="U736" s="88">
        <f>OBRA!U734</f>
        <v>0</v>
      </c>
      <c r="V736" s="89">
        <f>OBRA!V734</f>
        <v>0</v>
      </c>
      <c r="W736" s="1739">
        <v>0</v>
      </c>
      <c r="X736" s="1459">
        <f>OBRA!AT734+OBRA!AU734</f>
        <v>0</v>
      </c>
      <c r="Y736" s="1038" t="s">
        <v>6066</v>
      </c>
      <c r="Z736" s="147" t="str">
        <f>OBRA!X734</f>
        <v>-</v>
      </c>
      <c r="AA736" s="147" t="s">
        <v>67</v>
      </c>
      <c r="AB736" s="149" t="str">
        <f t="shared" si="54"/>
        <v>-</v>
      </c>
      <c r="AC736" s="147" t="s">
        <v>67</v>
      </c>
      <c r="AD736" s="149" t="s">
        <v>67</v>
      </c>
      <c r="AE736" s="185">
        <f>OBRA!Y734</f>
        <v>0</v>
      </c>
      <c r="AF736" s="84"/>
      <c r="AG736" s="85"/>
      <c r="AH736" s="1740" t="e">
        <f t="shared" ref="AH736:AH767" si="56">X736/AF736</f>
        <v>#DIV/0!</v>
      </c>
      <c r="AI736" s="85"/>
      <c r="AJ736" s="515"/>
      <c r="AK736" s="1823"/>
      <c r="AL736" s="1824"/>
      <c r="AM736" s="1825"/>
      <c r="AN736" s="821"/>
      <c r="AO736" s="821"/>
      <c r="AP736" s="821"/>
      <c r="AQ736" s="515"/>
      <c r="AR736" s="515"/>
      <c r="AS736" s="83"/>
      <c r="AT736" s="515"/>
      <c r="AU736" s="515"/>
      <c r="AV736" s="515"/>
      <c r="AW736" s="515"/>
      <c r="AX736" s="515"/>
      <c r="AY736" s="515"/>
      <c r="AZ736" s="515"/>
      <c r="BA736" s="515"/>
      <c r="BB736" s="515"/>
      <c r="BC736" s="515"/>
      <c r="BD736" s="515"/>
      <c r="BE736" s="515"/>
      <c r="BF736" s="515"/>
      <c r="BG736" s="515"/>
      <c r="BH736" s="515"/>
      <c r="BI736" s="90" t="s">
        <v>550</v>
      </c>
      <c r="BJ736" s="103"/>
    </row>
    <row r="737" spans="1:62" s="104" customFormat="1" ht="24.95" hidden="1" customHeight="1">
      <c r="A737" s="82">
        <f>OBRA!K735</f>
        <v>2023</v>
      </c>
      <c r="B737" s="782" t="s">
        <v>3947</v>
      </c>
      <c r="C737" s="782">
        <f>OBRA!L735</f>
        <v>234008</v>
      </c>
      <c r="D737" s="782" t="s">
        <v>2313</v>
      </c>
      <c r="E737" s="85" t="s">
        <v>6018</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3"/>
        <v>0</v>
      </c>
      <c r="R737" s="86" t="s">
        <v>67</v>
      </c>
      <c r="S737" s="87">
        <f>OBRA!T735</f>
        <v>0</v>
      </c>
      <c r="T737" s="1438" t="str">
        <f>OBRA!W735</f>
        <v>-</v>
      </c>
      <c r="U737" s="88">
        <f>OBRA!U735</f>
        <v>0</v>
      </c>
      <c r="V737" s="89">
        <f>OBRA!V735</f>
        <v>0</v>
      </c>
      <c r="W737" s="826"/>
      <c r="X737" s="1459">
        <f>OBRA!AT735+OBRA!AU735</f>
        <v>0</v>
      </c>
      <c r="Y737" s="1038"/>
      <c r="Z737" s="147" t="str">
        <f>OBRA!X735</f>
        <v>-</v>
      </c>
      <c r="AA737" s="147" t="s">
        <v>5669</v>
      </c>
      <c r="AB737" s="149" t="s">
        <v>4480</v>
      </c>
      <c r="AC737" s="147" t="s">
        <v>4481</v>
      </c>
      <c r="AD737" s="149" t="s">
        <v>5637</v>
      </c>
      <c r="AE737" s="185">
        <f>OBRA!Y735</f>
        <v>0</v>
      </c>
      <c r="AF737" s="84">
        <v>259</v>
      </c>
      <c r="AG737" s="85" t="s">
        <v>1548</v>
      </c>
      <c r="AH737" s="1740">
        <f t="shared" si="56"/>
        <v>0</v>
      </c>
      <c r="AI737" s="85"/>
      <c r="AJ737" s="515"/>
      <c r="AK737" s="515"/>
      <c r="AL737" s="1544"/>
      <c r="AM737" s="1545"/>
      <c r="AN737" s="821"/>
      <c r="AO737" s="821"/>
      <c r="AP737" s="821"/>
      <c r="AQ737" s="515"/>
      <c r="AR737" s="515"/>
      <c r="AS737" s="83"/>
      <c r="AT737" s="515"/>
      <c r="AU737" s="515"/>
      <c r="AV737" s="515"/>
      <c r="AW737" s="515"/>
      <c r="AX737" s="515"/>
      <c r="AY737" s="515"/>
      <c r="AZ737" s="515"/>
      <c r="BA737" s="515"/>
      <c r="BB737" s="515"/>
      <c r="BC737" s="515"/>
      <c r="BD737" s="515"/>
      <c r="BE737" s="515"/>
      <c r="BF737" s="515"/>
      <c r="BG737" s="515"/>
      <c r="BH737" s="515"/>
      <c r="BI737" s="90" t="s">
        <v>550</v>
      </c>
      <c r="BJ737" s="103"/>
    </row>
    <row r="738" spans="1:62" s="104" customFormat="1" ht="24.95" hidden="1" customHeight="1">
      <c r="A738" s="82">
        <f>OBRA!K736</f>
        <v>2023</v>
      </c>
      <c r="B738" s="782" t="s">
        <v>3947</v>
      </c>
      <c r="C738" s="782">
        <f>OBRA!L736</f>
        <v>234009</v>
      </c>
      <c r="D738" s="1826" t="s">
        <v>2313</v>
      </c>
      <c r="E738" s="85">
        <f>OBRA!N736</f>
        <v>0</v>
      </c>
      <c r="F738" s="83" t="s">
        <v>1427</v>
      </c>
      <c r="G738" s="1827"/>
      <c r="H738" s="103" t="str">
        <f>OBRA!O736</f>
        <v>DOP/AD/009/2023</v>
      </c>
      <c r="I738" s="85" t="str">
        <f>OBRA!P736</f>
        <v>CANCELADA</v>
      </c>
      <c r="J738" s="125" t="str">
        <f>OBRA!Q736</f>
        <v>-</v>
      </c>
      <c r="K738" s="125"/>
      <c r="L738" s="125" t="s">
        <v>67</v>
      </c>
      <c r="M738" s="125"/>
      <c r="N738" s="125" t="str">
        <f>OBRA!R736</f>
        <v>-</v>
      </c>
      <c r="O738" s="817"/>
      <c r="P738" s="86">
        <f>OBRA!S736</f>
        <v>0</v>
      </c>
      <c r="Q738" s="86">
        <f t="shared" si="53"/>
        <v>0</v>
      </c>
      <c r="R738" s="86" t="s">
        <v>67</v>
      </c>
      <c r="S738" s="87">
        <f>OBRA!T736</f>
        <v>0</v>
      </c>
      <c r="T738" s="1438" t="str">
        <f>OBRA!W736</f>
        <v>-</v>
      </c>
      <c r="U738" s="88">
        <f>OBRA!U736</f>
        <v>0</v>
      </c>
      <c r="V738" s="89">
        <f>OBRA!V736</f>
        <v>0</v>
      </c>
      <c r="W738" s="826"/>
      <c r="X738" s="1459">
        <f>OBRA!AT736+OBRA!AU736</f>
        <v>0</v>
      </c>
      <c r="Y738" s="1038"/>
      <c r="Z738" s="147" t="str">
        <f>OBRA!X736</f>
        <v>-</v>
      </c>
      <c r="AA738" s="147" t="s">
        <v>5669</v>
      </c>
      <c r="AB738" s="149" t="s">
        <v>5401</v>
      </c>
      <c r="AC738" s="147" t="s">
        <v>5402</v>
      </c>
      <c r="AD738" s="149" t="s">
        <v>3474</v>
      </c>
      <c r="AE738" s="185">
        <f>OBRA!Y736</f>
        <v>0</v>
      </c>
      <c r="AF738" s="84"/>
      <c r="AG738" s="85" t="s">
        <v>1450</v>
      </c>
      <c r="AH738" s="1740" t="e">
        <f t="shared" si="56"/>
        <v>#DIV/0!</v>
      </c>
      <c r="AI738" s="85"/>
      <c r="AJ738" s="515"/>
      <c r="AK738" s="515"/>
      <c r="AL738" s="1544"/>
      <c r="AM738" s="1545"/>
      <c r="AN738" s="821"/>
      <c r="AO738" s="821"/>
      <c r="AP738" s="821"/>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OBRA!K737</f>
        <v>2023</v>
      </c>
      <c r="B739" s="782" t="s">
        <v>3947</v>
      </c>
      <c r="C739" s="782">
        <f>OBRA!L737</f>
        <v>234010</v>
      </c>
      <c r="D739" s="1826" t="s">
        <v>2313</v>
      </c>
      <c r="E739" s="85">
        <f>OBRA!N737</f>
        <v>0</v>
      </c>
      <c r="F739" s="83" t="s">
        <v>1427</v>
      </c>
      <c r="G739" s="1827"/>
      <c r="H739" s="103" t="str">
        <f>OBRA!O737</f>
        <v>DOP/AD/010/2023</v>
      </c>
      <c r="I739" s="85" t="str">
        <f>OBRA!P737</f>
        <v>CANCELADA</v>
      </c>
      <c r="J739" s="125" t="str">
        <f>OBRA!Q737</f>
        <v>-</v>
      </c>
      <c r="K739" s="125"/>
      <c r="L739" s="125" t="s">
        <v>67</v>
      </c>
      <c r="M739" s="125"/>
      <c r="N739" s="125" t="str">
        <f>OBRA!R737</f>
        <v>-</v>
      </c>
      <c r="O739" s="817"/>
      <c r="P739" s="86">
        <f>OBRA!S737</f>
        <v>0</v>
      </c>
      <c r="Q739" s="86">
        <f t="shared" si="53"/>
        <v>0</v>
      </c>
      <c r="R739" s="86" t="s">
        <v>67</v>
      </c>
      <c r="S739" s="87">
        <f>OBRA!T737</f>
        <v>0</v>
      </c>
      <c r="T739" s="1438" t="str">
        <f>OBRA!W737</f>
        <v>-</v>
      </c>
      <c r="U739" s="88">
        <f>OBRA!U737</f>
        <v>0</v>
      </c>
      <c r="V739" s="89">
        <f>OBRA!V737</f>
        <v>0</v>
      </c>
      <c r="W739" s="826"/>
      <c r="X739" s="1459">
        <f>OBRA!AT737+OBRA!AU737</f>
        <v>0</v>
      </c>
      <c r="Y739" s="1038"/>
      <c r="Z739" s="147" t="str">
        <f>OBRA!X737</f>
        <v>-</v>
      </c>
      <c r="AA739" s="147" t="s">
        <v>5669</v>
      </c>
      <c r="AB739" s="149" t="s">
        <v>4480</v>
      </c>
      <c r="AC739" s="147" t="s">
        <v>4481</v>
      </c>
      <c r="AD739" s="149" t="s">
        <v>5637</v>
      </c>
      <c r="AE739" s="185">
        <f>OBRA!Y737</f>
        <v>0</v>
      </c>
      <c r="AF739" s="84">
        <v>108</v>
      </c>
      <c r="AG739" s="85" t="s">
        <v>1548</v>
      </c>
      <c r="AH739" s="1740">
        <f t="shared" si="56"/>
        <v>0</v>
      </c>
      <c r="AI739" s="85"/>
      <c r="AJ739" s="515"/>
      <c r="AK739" s="515"/>
      <c r="AL739" s="1544"/>
      <c r="AM739" s="1545"/>
      <c r="AN739" s="821"/>
      <c r="AO739" s="821"/>
      <c r="AP739" s="821"/>
      <c r="AQ739" s="515"/>
      <c r="AR739" s="515"/>
      <c r="AS739" s="83"/>
      <c r="AT739" s="515"/>
      <c r="AU739" s="515"/>
      <c r="AV739" s="515"/>
      <c r="AW739" s="515"/>
      <c r="AX739" s="515"/>
      <c r="AY739" s="515"/>
      <c r="AZ739" s="515"/>
      <c r="BA739" s="515"/>
      <c r="BB739" s="515"/>
      <c r="BC739" s="515"/>
      <c r="BD739" s="515"/>
      <c r="BE739" s="515"/>
      <c r="BF739" s="515"/>
      <c r="BG739" s="515"/>
      <c r="BH739" s="515"/>
      <c r="BI739" s="90" t="s">
        <v>550</v>
      </c>
      <c r="BJ739" s="103"/>
    </row>
    <row r="740" spans="1:62" ht="147.75" hidden="1" customHeight="1">
      <c r="A740" s="16">
        <f>OBRA!K738</f>
        <v>2023</v>
      </c>
      <c r="B740" s="781" t="s">
        <v>3947</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922" t="s">
        <v>6488</v>
      </c>
      <c r="L740" s="3" t="s">
        <v>6249</v>
      </c>
      <c r="M740" s="674" t="s">
        <v>6067</v>
      </c>
      <c r="N740" s="3" t="str">
        <f>OBRA!R738</f>
        <v>CABECERA MUNICIPAL</v>
      </c>
      <c r="O740" s="505" t="s">
        <v>5519</v>
      </c>
      <c r="P740" s="4">
        <f>OBRA!S738</f>
        <v>1211066.4099999999</v>
      </c>
      <c r="Q740" s="1045">
        <f t="shared" si="53"/>
        <v>1044022.7672413794</v>
      </c>
      <c r="R740" s="1762" t="s">
        <v>67</v>
      </c>
      <c r="S740" s="6">
        <f>OBRA!T738</f>
        <v>44974</v>
      </c>
      <c r="T740" s="1156">
        <f>OBRA!W738</f>
        <v>44971</v>
      </c>
      <c r="U740" s="5">
        <f>OBRA!U738</f>
        <v>44977</v>
      </c>
      <c r="V740" s="11">
        <f>OBRA!V738</f>
        <v>45021</v>
      </c>
      <c r="W740" s="1557">
        <v>0</v>
      </c>
      <c r="X740" s="1041">
        <f>OBRA!AT738+OBRA!AU738</f>
        <v>1211066.4099999999</v>
      </c>
      <c r="Y740" s="1581" t="s">
        <v>6068</v>
      </c>
      <c r="Z740" s="1111" t="str">
        <f>OBRA!X738</f>
        <v>EDIFICACIONES Y TERRACERIAS CH, S.A. DE C.V.</v>
      </c>
      <c r="AA740" s="1111" t="s">
        <v>5668</v>
      </c>
      <c r="AB740" s="1828" t="s">
        <v>5401</v>
      </c>
      <c r="AC740" s="1829" t="s">
        <v>5402</v>
      </c>
      <c r="AD740" s="1828" t="s">
        <v>6069</v>
      </c>
      <c r="AE740" s="663" t="str">
        <f>OBRA!Y738</f>
        <v>C. DANIEL RODRIGUEZ VALENZUELA</v>
      </c>
      <c r="AF740" s="884">
        <f>161.65+167.67</f>
        <v>329.32</v>
      </c>
      <c r="AG740" s="389" t="s">
        <v>1450</v>
      </c>
      <c r="AH740" s="655">
        <f t="shared" si="56"/>
        <v>3677.4760415401433</v>
      </c>
      <c r="AI740" s="389">
        <v>120</v>
      </c>
      <c r="AJ740" s="389">
        <v>10000</v>
      </c>
      <c r="AK740" s="1993">
        <v>1</v>
      </c>
      <c r="AL740" s="1621">
        <v>20.290374</v>
      </c>
      <c r="AM740" s="1622">
        <v>103.43078</v>
      </c>
      <c r="AN740" s="563" t="s">
        <v>5525</v>
      </c>
      <c r="AO740" s="563" t="s">
        <v>5525</v>
      </c>
      <c r="AP740" s="563" t="s">
        <v>5525</v>
      </c>
      <c r="AQ740" s="502" t="s">
        <v>5525</v>
      </c>
      <c r="AR740" s="502"/>
      <c r="AS740" s="697" t="s">
        <v>5525</v>
      </c>
      <c r="AT740" s="1853">
        <v>741785.29</v>
      </c>
      <c r="AU740" s="1853">
        <v>0</v>
      </c>
      <c r="AV740" s="1853">
        <f>404552.69*1.16</f>
        <v>469281.12039999996</v>
      </c>
      <c r="AW740" s="1853">
        <v>0</v>
      </c>
      <c r="AX740" s="1853">
        <v>0</v>
      </c>
      <c r="AY740" s="1853">
        <v>0</v>
      </c>
      <c r="AZ740" s="1853">
        <v>0</v>
      </c>
      <c r="BA740" s="1853">
        <v>0</v>
      </c>
      <c r="BB740" s="514">
        <v>167.67</v>
      </c>
      <c r="BC740" s="514" t="s">
        <v>6316</v>
      </c>
      <c r="BD740" s="514">
        <v>161.65</v>
      </c>
      <c r="BE740" s="514">
        <v>0</v>
      </c>
      <c r="BF740" s="514">
        <v>0</v>
      </c>
      <c r="BG740" s="514">
        <v>0</v>
      </c>
      <c r="BH740" s="514">
        <v>0</v>
      </c>
      <c r="BI740" s="33" t="s">
        <v>550</v>
      </c>
      <c r="BJ740" s="12"/>
    </row>
    <row r="741" spans="1:62" ht="95.25" hidden="1" customHeight="1">
      <c r="A741" s="16">
        <f>OBRA!K739</f>
        <v>2023</v>
      </c>
      <c r="B741" s="781" t="s">
        <v>3947</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922" t="s">
        <v>6474</v>
      </c>
      <c r="L741" s="3" t="s">
        <v>4755</v>
      </c>
      <c r="M741" s="674" t="s">
        <v>6067</v>
      </c>
      <c r="N741" s="3" t="str">
        <f>OBRA!R739</f>
        <v>CABECERA MUNICIPAL</v>
      </c>
      <c r="O741" s="505" t="s">
        <v>5519</v>
      </c>
      <c r="P741" s="4">
        <f>OBRA!S739</f>
        <v>1810170.95</v>
      </c>
      <c r="Q741" s="1045">
        <f t="shared" si="53"/>
        <v>1560492.198275862</v>
      </c>
      <c r="R741" s="1762" t="s">
        <v>67</v>
      </c>
      <c r="S741" s="6">
        <f>OBRA!T739</f>
        <v>45022</v>
      </c>
      <c r="T741" s="1156">
        <f>OBRA!W739</f>
        <v>45021</v>
      </c>
      <c r="U741" s="5">
        <f>OBRA!U739</f>
        <v>45024</v>
      </c>
      <c r="V741" s="11">
        <f>OBRA!V739</f>
        <v>45061</v>
      </c>
      <c r="W741" s="1582">
        <v>0</v>
      </c>
      <c r="X741" s="1692">
        <f>OBRA!AT739+OBRA!AU739</f>
        <v>1884522.92</v>
      </c>
      <c r="Y741" s="1581" t="s">
        <v>5403</v>
      </c>
      <c r="Z741" s="1111" t="str">
        <f>OBRA!X739</f>
        <v>ING. SERGIO CABRERA</v>
      </c>
      <c r="AA741" s="1111" t="s">
        <v>5668</v>
      </c>
      <c r="AB741" s="1816" t="s">
        <v>4447</v>
      </c>
      <c r="AC741" s="1111" t="s">
        <v>1922</v>
      </c>
      <c r="AD741" s="400" t="s">
        <v>6049</v>
      </c>
      <c r="AE741" s="1830" t="str">
        <f>OBRA!Y739</f>
        <v>C. DANIEL RODRIGUEZ VALENZUELA</v>
      </c>
      <c r="AF741" s="884">
        <v>1209.1400000000001</v>
      </c>
      <c r="AG741" s="389" t="s">
        <v>1548</v>
      </c>
      <c r="AH741" s="655">
        <f t="shared" si="56"/>
        <v>1558.5646988768874</v>
      </c>
      <c r="AI741" s="389">
        <v>120</v>
      </c>
      <c r="AJ741" s="389">
        <v>120</v>
      </c>
      <c r="AK741" s="1993">
        <v>1</v>
      </c>
      <c r="AL741" s="1621">
        <v>20.290374</v>
      </c>
      <c r="AM741" s="1622">
        <v>103.43078</v>
      </c>
      <c r="AN741" s="563" t="s">
        <v>5524</v>
      </c>
      <c r="AO741" s="563" t="s">
        <v>5524</v>
      </c>
      <c r="AP741" s="563" t="s">
        <v>5524</v>
      </c>
      <c r="AQ741" s="502" t="s">
        <v>5524</v>
      </c>
      <c r="AR741" s="502"/>
      <c r="AS741" s="697" t="s">
        <v>5524</v>
      </c>
      <c r="AT741" s="1920">
        <v>0</v>
      </c>
      <c r="AU741" s="1920">
        <v>0</v>
      </c>
      <c r="AV741" s="1920">
        <v>0</v>
      </c>
      <c r="AW741" s="1920">
        <v>0</v>
      </c>
      <c r="AX741" s="1920">
        <v>0</v>
      </c>
      <c r="AY741" s="1920">
        <v>0</v>
      </c>
      <c r="AZ741" s="1920">
        <v>0</v>
      </c>
      <c r="BA741" s="1920">
        <v>0</v>
      </c>
      <c r="BB741" s="1921">
        <v>0</v>
      </c>
      <c r="BC741" s="1921">
        <v>0</v>
      </c>
      <c r="BD741" s="1921">
        <v>0</v>
      </c>
      <c r="BE741" s="1921">
        <v>0</v>
      </c>
      <c r="BF741" s="1921">
        <v>0</v>
      </c>
      <c r="BG741" s="1921">
        <v>0</v>
      </c>
      <c r="BH741" s="1921">
        <v>0</v>
      </c>
      <c r="BI741" s="33" t="s">
        <v>550</v>
      </c>
      <c r="BJ741" s="12"/>
    </row>
    <row r="742" spans="1:62" ht="226.5" hidden="1" customHeight="1">
      <c r="A742" s="16">
        <f>OBRA!K740</f>
        <v>2023</v>
      </c>
      <c r="B742" s="781" t="s">
        <v>3947</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922" t="s">
        <v>6489</v>
      </c>
      <c r="L742" s="3" t="s">
        <v>6249</v>
      </c>
      <c r="M742" s="674" t="s">
        <v>6071</v>
      </c>
      <c r="N742" s="3" t="str">
        <f>OBRA!R740</f>
        <v>CABECERA MUNICIPAL</v>
      </c>
      <c r="O742" s="505" t="s">
        <v>5519</v>
      </c>
      <c r="P742" s="4">
        <f>OBRA!S740</f>
        <v>4378573.75</v>
      </c>
      <c r="Q742" s="1045">
        <f t="shared" si="53"/>
        <v>3774632.5431034486</v>
      </c>
      <c r="R742" s="1762" t="s">
        <v>67</v>
      </c>
      <c r="S742" s="6">
        <f>OBRA!T740</f>
        <v>44981</v>
      </c>
      <c r="T742" s="1156" t="str">
        <f>OBRA!W740</f>
        <v>-</v>
      </c>
      <c r="U742" s="5">
        <f>OBRA!U740</f>
        <v>44987</v>
      </c>
      <c r="V742" s="11">
        <f>OBRA!V740</f>
        <v>45048</v>
      </c>
      <c r="W742" s="1582">
        <v>0</v>
      </c>
      <c r="X742" s="1692">
        <f>OBRA!AT740+OBRA!AU740</f>
        <v>4710868.9800000004</v>
      </c>
      <c r="Y742" s="1581" t="s">
        <v>6072</v>
      </c>
      <c r="Z742" s="1111" t="str">
        <f>OBRA!X740</f>
        <v>TERRACERÍAS Y PAVIMENTOS DE LA RIBERA, S.A. DE C.V.</v>
      </c>
      <c r="AA742" s="1111" t="s">
        <v>5669</v>
      </c>
      <c r="AB742" s="1828" t="s">
        <v>4447</v>
      </c>
      <c r="AC742" s="1829" t="s">
        <v>3473</v>
      </c>
      <c r="AD742" s="1828" t="s">
        <v>6073</v>
      </c>
      <c r="AE742" s="1830" t="str">
        <f>OBRA!Y740</f>
        <v>C. DANIEL RODRIGUEZ VALENZUELA</v>
      </c>
      <c r="AF742" s="884">
        <v>2016</v>
      </c>
      <c r="AG742" s="389" t="s">
        <v>1548</v>
      </c>
      <c r="AH742" s="655">
        <f t="shared" si="56"/>
        <v>2336.7405654761906</v>
      </c>
      <c r="AI742" s="389">
        <v>120</v>
      </c>
      <c r="AJ742" s="389">
        <v>10000</v>
      </c>
      <c r="AK742" s="1993">
        <v>1</v>
      </c>
      <c r="AL742" s="1621">
        <v>20.291854000000001</v>
      </c>
      <c r="AM742" s="1622">
        <v>103.43062</v>
      </c>
      <c r="AN742" s="563" t="s">
        <v>5521</v>
      </c>
      <c r="AO742" s="563" t="s">
        <v>5521</v>
      </c>
      <c r="AP742" s="563" t="s">
        <v>5521</v>
      </c>
      <c r="AQ742" s="502" t="s">
        <v>5521</v>
      </c>
      <c r="AR742" s="502"/>
      <c r="AS742" s="697" t="s">
        <v>5521</v>
      </c>
      <c r="AT742" s="1869">
        <f>381164.88*1.16</f>
        <v>442151.26079999999</v>
      </c>
      <c r="AU742" s="1869"/>
      <c r="AV742" s="1869">
        <f>609827.87*1.16</f>
        <v>707400.32919999992</v>
      </c>
      <c r="AW742" s="1869">
        <v>0</v>
      </c>
      <c r="AX742" s="1869">
        <v>2783639.79</v>
      </c>
      <c r="AY742" s="1869">
        <v>0</v>
      </c>
      <c r="AZ742" s="1869"/>
      <c r="BA742" s="1869">
        <v>0</v>
      </c>
      <c r="BB742" s="2">
        <v>252</v>
      </c>
      <c r="BC742" s="2"/>
      <c r="BD742" s="2">
        <v>252</v>
      </c>
      <c r="BE742" s="2">
        <v>0</v>
      </c>
      <c r="BF742" s="2">
        <v>2016</v>
      </c>
      <c r="BG742" s="2">
        <v>0</v>
      </c>
      <c r="BH742" s="413"/>
      <c r="BI742" s="413" t="s">
        <v>550</v>
      </c>
      <c r="BJ742" s="12"/>
    </row>
    <row r="743" spans="1:62" ht="110.25" hidden="1" customHeight="1">
      <c r="A743" s="16">
        <f>OBRA!K741</f>
        <v>2023</v>
      </c>
      <c r="B743" s="781" t="s">
        <v>3947</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922" t="s">
        <v>6480</v>
      </c>
      <c r="L743" s="3" t="s">
        <v>4754</v>
      </c>
      <c r="M743" s="674" t="s">
        <v>4571</v>
      </c>
      <c r="N743" s="3" t="str">
        <f>OBRA!R741</f>
        <v>CHANTEPEC</v>
      </c>
      <c r="O743" s="505" t="s">
        <v>5519</v>
      </c>
      <c r="P743" s="4">
        <f>OBRA!S741</f>
        <v>1196296.56</v>
      </c>
      <c r="Q743" s="1045">
        <f t="shared" si="53"/>
        <v>1031290.1379310346</v>
      </c>
      <c r="R743" s="1762" t="s">
        <v>67</v>
      </c>
      <c r="S743" s="6">
        <f>OBRA!T741</f>
        <v>45036</v>
      </c>
      <c r="T743" s="1156">
        <f>OBRA!W741</f>
        <v>45034</v>
      </c>
      <c r="U743" s="5">
        <f>OBRA!U741</f>
        <v>45048</v>
      </c>
      <c r="V743" s="11">
        <f>OBRA!V741</f>
        <v>45079</v>
      </c>
      <c r="W743" s="1582">
        <v>358888.97</v>
      </c>
      <c r="X743" s="1692">
        <f>OBRA!AT741+OBRA!AU741</f>
        <v>990596.22</v>
      </c>
      <c r="Y743" s="1581" t="s">
        <v>6074</v>
      </c>
      <c r="Z743" s="146" t="str">
        <f>OBRA!X741</f>
        <v>URBANIZADORA Y PAVIMENTADORA MONLE S.A. DE C.V.</v>
      </c>
      <c r="AA743" s="146" t="s">
        <v>5669</v>
      </c>
      <c r="AB743" s="1828" t="s">
        <v>4881</v>
      </c>
      <c r="AC743" s="1829" t="s">
        <v>4882</v>
      </c>
      <c r="AD743" s="1828" t="s">
        <v>5906</v>
      </c>
      <c r="AE743" s="1830" t="str">
        <f>OBRA!Y741</f>
        <v>ING. J. GUADALUPE IBARRA RAMIREZ</v>
      </c>
      <c r="AF743" s="212">
        <v>200</v>
      </c>
      <c r="AG743" s="389" t="s">
        <v>1548</v>
      </c>
      <c r="AH743" s="655">
        <f t="shared" si="56"/>
        <v>4952.9811</v>
      </c>
      <c r="AI743" s="389">
        <v>1200</v>
      </c>
      <c r="AJ743" s="389">
        <v>1200</v>
      </c>
      <c r="AK743" s="1993">
        <v>1</v>
      </c>
      <c r="AL743" s="1621">
        <v>20.291011999999998</v>
      </c>
      <c r="AM743" s="1622">
        <v>103.391206</v>
      </c>
      <c r="AN743" s="1628" t="s">
        <v>5526</v>
      </c>
      <c r="AO743" s="1628" t="s">
        <v>5526</v>
      </c>
      <c r="AP743" s="1628" t="s">
        <v>5526</v>
      </c>
      <c r="AQ743" s="523" t="s">
        <v>5526</v>
      </c>
      <c r="AR743" s="523"/>
      <c r="AS743" s="417" t="s">
        <v>5526</v>
      </c>
      <c r="AT743" s="1926">
        <v>0</v>
      </c>
      <c r="AU743" s="1926">
        <v>0</v>
      </c>
      <c r="AV743" s="1926">
        <v>0</v>
      </c>
      <c r="AW743" s="1926">
        <v>0</v>
      </c>
      <c r="AX743" s="1926">
        <v>0</v>
      </c>
      <c r="AY743" s="1926">
        <v>0</v>
      </c>
      <c r="AZ743" s="1926">
        <v>0</v>
      </c>
      <c r="BA743" s="1926">
        <v>0</v>
      </c>
      <c r="BB743" s="1111">
        <v>0</v>
      </c>
      <c r="BC743" s="1111">
        <v>0</v>
      </c>
      <c r="BD743" s="1111">
        <v>0</v>
      </c>
      <c r="BE743" s="1111">
        <v>0</v>
      </c>
      <c r="BF743" s="1111">
        <v>0</v>
      </c>
      <c r="BG743" s="1111">
        <v>0</v>
      </c>
      <c r="BH743" s="1111">
        <v>0</v>
      </c>
      <c r="BI743" s="33" t="s">
        <v>550</v>
      </c>
      <c r="BJ743" s="12"/>
    </row>
    <row r="744" spans="1:62" ht="135" hidden="1" customHeight="1">
      <c r="A744" s="16">
        <f>OBRA!K742</f>
        <v>2023</v>
      </c>
      <c r="B744" s="781" t="s">
        <v>3947</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922" t="s">
        <v>6481</v>
      </c>
      <c r="L744" s="3" t="s">
        <v>4754</v>
      </c>
      <c r="M744" s="674" t="s">
        <v>4571</v>
      </c>
      <c r="N744" s="3" t="str">
        <f>OBRA!R742</f>
        <v>CHANTEPEC</v>
      </c>
      <c r="O744" s="505" t="s">
        <v>5519</v>
      </c>
      <c r="P744" s="4">
        <f>OBRA!S742</f>
        <v>544139.78</v>
      </c>
      <c r="Q744" s="1045">
        <f t="shared" si="53"/>
        <v>469086.01724137936</v>
      </c>
      <c r="R744" s="1762" t="s">
        <v>67</v>
      </c>
      <c r="S744" s="6">
        <f>OBRA!T742</f>
        <v>45044</v>
      </c>
      <c r="T744" s="1156">
        <f>OBRA!W742</f>
        <v>45035</v>
      </c>
      <c r="U744" s="5">
        <f>OBRA!U742</f>
        <v>45054</v>
      </c>
      <c r="V744" s="11">
        <f>OBRA!V742</f>
        <v>45086</v>
      </c>
      <c r="W744" s="1582">
        <v>163241.93</v>
      </c>
      <c r="X744" s="1692">
        <f>OBRA!AT742+OBRA!AU742</f>
        <v>609769.67000000004</v>
      </c>
      <c r="Y744" s="1581" t="s">
        <v>6074</v>
      </c>
      <c r="Z744" s="146" t="str">
        <f>OBRA!X742</f>
        <v>CONSTRUCTORA ELÉCTRICA DEL LAGO S.A. DE C.V.</v>
      </c>
      <c r="AA744" s="146" t="s">
        <v>5669</v>
      </c>
      <c r="AB744" s="1828" t="s">
        <v>6075</v>
      </c>
      <c r="AC744" s="1829" t="s">
        <v>6076</v>
      </c>
      <c r="AD744" s="1828" t="s">
        <v>6077</v>
      </c>
      <c r="AE744" s="1830" t="str">
        <f>OBRA!Y742</f>
        <v>ING. J. GUADALUPE IBARRA RAMIREZ</v>
      </c>
      <c r="AF744" s="884">
        <v>1</v>
      </c>
      <c r="AG744" s="389" t="s">
        <v>1462</v>
      </c>
      <c r="AH744" s="655">
        <f t="shared" si="56"/>
        <v>609769.67000000004</v>
      </c>
      <c r="AI744" s="389">
        <v>1200</v>
      </c>
      <c r="AJ744" s="389">
        <v>1200</v>
      </c>
      <c r="AK744" s="1993">
        <v>1</v>
      </c>
      <c r="AL744" s="1621">
        <v>20.291011999999998</v>
      </c>
      <c r="AM744" s="1622">
        <v>103.391206</v>
      </c>
      <c r="AN744" s="1628" t="s">
        <v>5527</v>
      </c>
      <c r="AO744" s="1628" t="s">
        <v>5527</v>
      </c>
      <c r="AP744" s="1628" t="s">
        <v>5527</v>
      </c>
      <c r="AQ744" s="523" t="s">
        <v>5527</v>
      </c>
      <c r="AR744" s="523"/>
      <c r="AS744" s="417" t="s">
        <v>5527</v>
      </c>
      <c r="AT744" s="1926">
        <v>0</v>
      </c>
      <c r="AU744" s="1926">
        <v>0</v>
      </c>
      <c r="AV744" s="1926">
        <v>0</v>
      </c>
      <c r="AW744" s="1926">
        <v>0</v>
      </c>
      <c r="AX744" s="1926">
        <v>0</v>
      </c>
      <c r="AY744" s="1926">
        <v>0</v>
      </c>
      <c r="AZ744" s="1926">
        <v>0</v>
      </c>
      <c r="BA744" s="1926">
        <v>0</v>
      </c>
      <c r="BB744" s="1111">
        <v>0</v>
      </c>
      <c r="BC744" s="1111">
        <v>0</v>
      </c>
      <c r="BD744" s="1111">
        <v>0</v>
      </c>
      <c r="BE744" s="1111">
        <v>0</v>
      </c>
      <c r="BF744" s="1111">
        <v>0</v>
      </c>
      <c r="BG744" s="1111">
        <v>0</v>
      </c>
      <c r="BH744" s="1111">
        <v>0</v>
      </c>
      <c r="BI744" s="33" t="s">
        <v>550</v>
      </c>
      <c r="BJ744" s="12"/>
    </row>
    <row r="745" spans="1:62" ht="169.5" hidden="1" customHeight="1">
      <c r="A745" s="16">
        <f>OBRA!K743</f>
        <v>2023</v>
      </c>
      <c r="B745" s="781" t="s">
        <v>3947</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624" t="s">
        <v>6482</v>
      </c>
      <c r="L745" s="3" t="s">
        <v>6242</v>
      </c>
      <c r="M745" s="674" t="s">
        <v>5895</v>
      </c>
      <c r="N745" s="3" t="str">
        <f>OBRA!R743</f>
        <v>CABECERA MUNICIPAL</v>
      </c>
      <c r="O745" s="505" t="s">
        <v>5519</v>
      </c>
      <c r="P745" s="4">
        <f>OBRA!S743</f>
        <v>584259.75</v>
      </c>
      <c r="Q745" s="1045">
        <f t="shared" si="53"/>
        <v>503672.19827586209</v>
      </c>
      <c r="R745" s="1762" t="s">
        <v>67</v>
      </c>
      <c r="S745" s="6">
        <f>OBRA!T743</f>
        <v>45042</v>
      </c>
      <c r="T745" s="1156">
        <f>OBRA!W743</f>
        <v>45040</v>
      </c>
      <c r="U745" s="5">
        <f>OBRA!U743</f>
        <v>45048</v>
      </c>
      <c r="V745" s="11">
        <f>OBRA!V743</f>
        <v>45168</v>
      </c>
      <c r="W745" s="1582">
        <v>175277.92</v>
      </c>
      <c r="X745" s="1692">
        <f>OBRA!AT743+OBRA!AU743</f>
        <v>774108.4</v>
      </c>
      <c r="Y745" s="1581" t="s">
        <v>6078</v>
      </c>
      <c r="Z745" s="146" t="str">
        <f>OBRA!X743</f>
        <v>ESTRUCTURAS PLANEADAS DE OCCIDENTE, S.A. DE C.V.</v>
      </c>
      <c r="AA745" s="146" t="s">
        <v>5669</v>
      </c>
      <c r="AB745" s="148" t="s">
        <v>4480</v>
      </c>
      <c r="AC745" s="146" t="s">
        <v>4481</v>
      </c>
      <c r="AD745" s="148" t="s">
        <v>6048</v>
      </c>
      <c r="AE745" s="1830" t="str">
        <f>OBRA!Y743</f>
        <v>ARQ. JAIME CONDE GOMEZ</v>
      </c>
      <c r="AF745" s="884">
        <v>367</v>
      </c>
      <c r="AG745" s="389" t="s">
        <v>1548</v>
      </c>
      <c r="AH745" s="655">
        <f t="shared" si="56"/>
        <v>2109.2871934604905</v>
      </c>
      <c r="AI745" s="389" t="s">
        <v>67</v>
      </c>
      <c r="AJ745" s="389">
        <v>48500</v>
      </c>
      <c r="AK745" s="1993">
        <v>1</v>
      </c>
      <c r="AL745" s="1621">
        <v>20.286434</v>
      </c>
      <c r="AM745" s="1622">
        <v>103.43029300000001</v>
      </c>
      <c r="AN745" s="1628" t="s">
        <v>5528</v>
      </c>
      <c r="AO745" s="1628" t="s">
        <v>5528</v>
      </c>
      <c r="AP745" s="1628" t="s">
        <v>5528</v>
      </c>
      <c r="AQ745" s="523" t="s">
        <v>5528</v>
      </c>
      <c r="AR745" s="523"/>
      <c r="AS745" s="417" t="s">
        <v>5528</v>
      </c>
      <c r="AT745" s="1926">
        <v>0</v>
      </c>
      <c r="AU745" s="1926">
        <v>0</v>
      </c>
      <c r="AV745" s="1926">
        <v>0</v>
      </c>
      <c r="AW745" s="1926">
        <v>0</v>
      </c>
      <c r="AX745" s="1926">
        <v>0</v>
      </c>
      <c r="AY745" s="1926">
        <v>0</v>
      </c>
      <c r="AZ745" s="1926">
        <v>0</v>
      </c>
      <c r="BA745" s="1926">
        <v>0</v>
      </c>
      <c r="BB745" s="1111">
        <v>0</v>
      </c>
      <c r="BC745" s="1111">
        <v>0</v>
      </c>
      <c r="BD745" s="1111">
        <v>0</v>
      </c>
      <c r="BE745" s="1111">
        <v>0</v>
      </c>
      <c r="BF745" s="1111">
        <v>0</v>
      </c>
      <c r="BG745" s="1111">
        <v>0</v>
      </c>
      <c r="BH745" s="1111">
        <v>0</v>
      </c>
      <c r="BI745" s="33" t="s">
        <v>550</v>
      </c>
      <c r="BJ745" s="12"/>
    </row>
    <row r="746" spans="1:62" ht="94.5" hidden="1" customHeight="1">
      <c r="A746" s="16">
        <f>OBRA!K744</f>
        <v>2023</v>
      </c>
      <c r="B746" s="781" t="s">
        <v>3947</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624" t="s">
        <v>6483</v>
      </c>
      <c r="L746" s="3" t="s">
        <v>4748</v>
      </c>
      <c r="M746" s="674" t="s">
        <v>6079</v>
      </c>
      <c r="N746" s="3" t="str">
        <f>OBRA!R744</f>
        <v>CABECERA MUNICIPAL</v>
      </c>
      <c r="O746" s="505" t="s">
        <v>5519</v>
      </c>
      <c r="P746" s="4">
        <f>OBRA!S744</f>
        <v>387303.55</v>
      </c>
      <c r="Q746" s="1045">
        <f t="shared" si="53"/>
        <v>333882.37068965519</v>
      </c>
      <c r="R746" s="1762" t="s">
        <v>67</v>
      </c>
      <c r="S746" s="6">
        <f>OBRA!T744</f>
        <v>45056</v>
      </c>
      <c r="T746" s="1156">
        <f>OBRA!W744</f>
        <v>45055</v>
      </c>
      <c r="U746" s="5">
        <f>OBRA!U744</f>
        <v>45061</v>
      </c>
      <c r="V746" s="11">
        <f>OBRA!V744</f>
        <v>45090</v>
      </c>
      <c r="W746" s="1582">
        <v>0</v>
      </c>
      <c r="X746" s="1692">
        <f>OBRA!AT744+OBRA!AU744</f>
        <v>383670.21</v>
      </c>
      <c r="Y746" s="1581" t="s">
        <v>6080</v>
      </c>
      <c r="Z746" s="146" t="str">
        <f>OBRA!X744</f>
        <v>EDIFICACIONES Y TERRACERIAS CH, S.A. DE C.V.</v>
      </c>
      <c r="AA746" s="146" t="s">
        <v>5669</v>
      </c>
      <c r="AB746" s="1816" t="s">
        <v>5401</v>
      </c>
      <c r="AC746" s="1817" t="s">
        <v>5402</v>
      </c>
      <c r="AD746" s="1816" t="s">
        <v>6069</v>
      </c>
      <c r="AE746" s="1830" t="str">
        <f>OBRA!Y744</f>
        <v>C. DANIEL RODRIGUEZ VALENZUELA</v>
      </c>
      <c r="AF746" s="884">
        <v>125</v>
      </c>
      <c r="AG746" s="389" t="s">
        <v>1450</v>
      </c>
      <c r="AH746" s="655">
        <f t="shared" si="56"/>
        <v>3069.36168</v>
      </c>
      <c r="AI746" s="389">
        <v>5000</v>
      </c>
      <c r="AJ746" s="389">
        <v>5000</v>
      </c>
      <c r="AK746" s="1993">
        <v>1</v>
      </c>
      <c r="AL746" s="1621">
        <v>20.294352</v>
      </c>
      <c r="AM746" s="1622">
        <v>103.430109</v>
      </c>
      <c r="AN746" s="1628" t="s">
        <v>5841</v>
      </c>
      <c r="AO746" s="1628" t="s">
        <v>5841</v>
      </c>
      <c r="AP746" s="1628" t="s">
        <v>5841</v>
      </c>
      <c r="AQ746" s="523" t="s">
        <v>5841</v>
      </c>
      <c r="AR746" s="523"/>
      <c r="AS746" s="417" t="s">
        <v>5841</v>
      </c>
      <c r="AT746" s="1926">
        <v>0</v>
      </c>
      <c r="AU746" s="1926">
        <v>0</v>
      </c>
      <c r="AV746" s="1926">
        <v>0</v>
      </c>
      <c r="AW746" s="1926">
        <v>0</v>
      </c>
      <c r="AX746" s="1926">
        <v>0</v>
      </c>
      <c r="AY746" s="1926">
        <v>0</v>
      </c>
      <c r="AZ746" s="1926">
        <v>0</v>
      </c>
      <c r="BA746" s="1926">
        <v>0</v>
      </c>
      <c r="BB746" s="1111">
        <v>0</v>
      </c>
      <c r="BC746" s="1111">
        <v>0</v>
      </c>
      <c r="BD746" s="1111">
        <v>0</v>
      </c>
      <c r="BE746" s="1111">
        <v>0</v>
      </c>
      <c r="BF746" s="1111">
        <v>0</v>
      </c>
      <c r="BG746" s="1111">
        <v>0</v>
      </c>
      <c r="BH746" s="1111">
        <v>0</v>
      </c>
      <c r="BI746" s="33" t="s">
        <v>550</v>
      </c>
      <c r="BJ746" s="12"/>
    </row>
    <row r="747" spans="1:62" ht="80.25" hidden="1" customHeight="1">
      <c r="A747" s="16">
        <f>OBRA!K745</f>
        <v>2023</v>
      </c>
      <c r="B747" s="781" t="s">
        <v>3947</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624" t="s">
        <v>6484</v>
      </c>
      <c r="L747" s="3" t="s">
        <v>5420</v>
      </c>
      <c r="M747" s="674" t="s">
        <v>2657</v>
      </c>
      <c r="N747" s="3" t="str">
        <f>OBRA!R745</f>
        <v>CABECERA MUNICIPAL</v>
      </c>
      <c r="O747" s="505" t="s">
        <v>5519</v>
      </c>
      <c r="P747" s="4">
        <f>OBRA!S745</f>
        <v>374761.47</v>
      </c>
      <c r="Q747" s="1045">
        <f t="shared" si="53"/>
        <v>323070.2327586207</v>
      </c>
      <c r="R747" s="1762" t="s">
        <v>67</v>
      </c>
      <c r="S747" s="6">
        <f>OBRA!T745</f>
        <v>45056</v>
      </c>
      <c r="T747" s="1156">
        <f>OBRA!W745</f>
        <v>45055</v>
      </c>
      <c r="U747" s="5">
        <f>OBRA!U745</f>
        <v>45061</v>
      </c>
      <c r="V747" s="11">
        <f>OBRA!V745</f>
        <v>45086</v>
      </c>
      <c r="W747" s="1557">
        <v>0</v>
      </c>
      <c r="X747" s="1041">
        <f>OBRA!AT745+OBRA!AU745</f>
        <v>490751.18</v>
      </c>
      <c r="Y747" s="1110" t="s">
        <v>6081</v>
      </c>
      <c r="Z747" s="146" t="str">
        <f>OBRA!X745</f>
        <v>ESTRUCTURAS PLANEADAS DE OCCIDENTE, S.A. DE C.V.</v>
      </c>
      <c r="AA747" s="146" t="s">
        <v>5669</v>
      </c>
      <c r="AB747" s="148" t="s">
        <v>4480</v>
      </c>
      <c r="AC747" s="146" t="s">
        <v>4481</v>
      </c>
      <c r="AD747" s="148" t="s">
        <v>6048</v>
      </c>
      <c r="AE747" s="1818" t="str">
        <f>OBRA!Y745</f>
        <v>ING. J. GUADALUPE IBARRA RAMIREZ</v>
      </c>
      <c r="AF747" s="884">
        <v>259</v>
      </c>
      <c r="AG747" s="389" t="s">
        <v>1548</v>
      </c>
      <c r="AH747" s="655">
        <f t="shared" si="56"/>
        <v>1894.7922007722007</v>
      </c>
      <c r="AI747" s="389">
        <v>5000</v>
      </c>
      <c r="AJ747" s="389">
        <v>5000</v>
      </c>
      <c r="AK747" s="1993">
        <v>1</v>
      </c>
      <c r="AL747" s="1621">
        <v>20.294468999999999</v>
      </c>
      <c r="AM747" s="1622">
        <v>103.43018600000001</v>
      </c>
      <c r="AN747" s="1628" t="s">
        <v>5529</v>
      </c>
      <c r="AO747" s="1628" t="s">
        <v>5529</v>
      </c>
      <c r="AP747" s="1628" t="s">
        <v>5529</v>
      </c>
      <c r="AQ747" s="523" t="s">
        <v>5529</v>
      </c>
      <c r="AR747" s="523"/>
      <c r="AS747" s="417" t="s">
        <v>5529</v>
      </c>
      <c r="AT747" s="1926">
        <v>0</v>
      </c>
      <c r="AU747" s="1926">
        <v>0</v>
      </c>
      <c r="AV747" s="1926">
        <v>0</v>
      </c>
      <c r="AW747" s="1926">
        <v>0</v>
      </c>
      <c r="AX747" s="1926">
        <v>0</v>
      </c>
      <c r="AY747" s="1926">
        <v>0</v>
      </c>
      <c r="AZ747" s="1926">
        <v>0</v>
      </c>
      <c r="BA747" s="1926">
        <v>0</v>
      </c>
      <c r="BB747" s="1111">
        <v>0</v>
      </c>
      <c r="BC747" s="1111">
        <v>0</v>
      </c>
      <c r="BD747" s="1111">
        <v>0</v>
      </c>
      <c r="BE747" s="1111">
        <v>0</v>
      </c>
      <c r="BF747" s="1111">
        <v>0</v>
      </c>
      <c r="BG747" s="1111">
        <v>0</v>
      </c>
      <c r="BH747" s="1111">
        <v>0</v>
      </c>
      <c r="BI747" s="33" t="s">
        <v>550</v>
      </c>
      <c r="BJ747" s="12"/>
    </row>
    <row r="748" spans="1:62" ht="91.5" hidden="1" customHeight="1">
      <c r="A748" s="16">
        <f>OBRA!K746</f>
        <v>2023</v>
      </c>
      <c r="B748" s="781" t="s">
        <v>3947</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624" t="s">
        <v>6483</v>
      </c>
      <c r="L748" s="3" t="s">
        <v>4748</v>
      </c>
      <c r="M748" s="674" t="s">
        <v>6082</v>
      </c>
      <c r="N748" s="3" t="str">
        <f>OBRA!R746</f>
        <v>CABECERA MUNICIPAL</v>
      </c>
      <c r="O748" s="505" t="s">
        <v>5519</v>
      </c>
      <c r="P748" s="4">
        <f>OBRA!S746</f>
        <v>835320.31999999995</v>
      </c>
      <c r="Q748" s="1045">
        <f t="shared" si="53"/>
        <v>720103.72413793101</v>
      </c>
      <c r="R748" s="1762" t="s">
        <v>67</v>
      </c>
      <c r="S748" s="6">
        <f>OBRA!T746</f>
        <v>45056</v>
      </c>
      <c r="T748" s="1156">
        <f>OBRA!W746</f>
        <v>45055</v>
      </c>
      <c r="U748" s="5">
        <f>OBRA!U746</f>
        <v>45061</v>
      </c>
      <c r="V748" s="11">
        <f>OBRA!V746</f>
        <v>45090</v>
      </c>
      <c r="W748" s="1557">
        <v>0</v>
      </c>
      <c r="X748" s="1041">
        <f>OBRA!AT746+OBRA!AU746</f>
        <v>803639.66</v>
      </c>
      <c r="Y748" s="1110" t="s">
        <v>6789</v>
      </c>
      <c r="Z748" s="146" t="str">
        <f>OBRA!X746</f>
        <v>EDIFICACIONES Y TERRACERIAS CH, S.A. DE C.V.</v>
      </c>
      <c r="AA748" s="146" t="s">
        <v>5669</v>
      </c>
      <c r="AB748" s="1816" t="s">
        <v>5401</v>
      </c>
      <c r="AC748" s="1817" t="s">
        <v>5402</v>
      </c>
      <c r="AD748" s="1816" t="s">
        <v>6069</v>
      </c>
      <c r="AE748" s="1830" t="str">
        <f>OBRA!Y746</f>
        <v>C. DANIEL RODRIGUEZ VALENZUELA</v>
      </c>
      <c r="AF748" s="884">
        <v>270</v>
      </c>
      <c r="AG748" s="389" t="s">
        <v>1450</v>
      </c>
      <c r="AH748" s="655">
        <f t="shared" si="56"/>
        <v>2976.4431851851855</v>
      </c>
      <c r="AI748" s="389">
        <v>5000</v>
      </c>
      <c r="AJ748" s="389">
        <v>5000</v>
      </c>
      <c r="AK748" s="1993">
        <v>1</v>
      </c>
      <c r="AL748" s="1621">
        <v>20.292020999999998</v>
      </c>
      <c r="AM748" s="1622">
        <v>103.43062500000001</v>
      </c>
      <c r="AN748" s="1628" t="s">
        <v>5847</v>
      </c>
      <c r="AO748" s="1628" t="s">
        <v>5847</v>
      </c>
      <c r="AP748" s="565"/>
      <c r="AQ748" s="523" t="s">
        <v>5847</v>
      </c>
      <c r="AR748" s="523"/>
      <c r="AS748" s="512"/>
      <c r="AT748" s="1926">
        <v>0</v>
      </c>
      <c r="AU748" s="1926">
        <v>0</v>
      </c>
      <c r="AV748" s="1926">
        <v>0</v>
      </c>
      <c r="AW748" s="1926">
        <v>0</v>
      </c>
      <c r="AX748" s="1926">
        <v>0</v>
      </c>
      <c r="AY748" s="1926">
        <v>0</v>
      </c>
      <c r="AZ748" s="1926">
        <v>0</v>
      </c>
      <c r="BA748" s="1926">
        <v>0</v>
      </c>
      <c r="BB748" s="1111">
        <v>0</v>
      </c>
      <c r="BC748" s="1111">
        <v>0</v>
      </c>
      <c r="BD748" s="1111">
        <v>0</v>
      </c>
      <c r="BE748" s="1111">
        <v>0</v>
      </c>
      <c r="BF748" s="1111">
        <v>0</v>
      </c>
      <c r="BG748" s="1111">
        <v>0</v>
      </c>
      <c r="BH748" s="1111">
        <v>0</v>
      </c>
      <c r="BI748" s="33"/>
      <c r="BJ748" s="12"/>
    </row>
    <row r="749" spans="1:62" ht="76.5" hidden="1" customHeight="1">
      <c r="A749" s="16">
        <f>OBRA!K747</f>
        <v>2023</v>
      </c>
      <c r="B749" s="781" t="s">
        <v>3947</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624" t="s">
        <v>6486</v>
      </c>
      <c r="L749" s="3" t="s">
        <v>4748</v>
      </c>
      <c r="M749" s="674" t="s">
        <v>4889</v>
      </c>
      <c r="N749" s="3" t="str">
        <f>OBRA!R747</f>
        <v>SAN CRISTÓBAL ZAPOTITLÁN</v>
      </c>
      <c r="O749" s="505" t="s">
        <v>5519</v>
      </c>
      <c r="P749" s="4">
        <f>OBRA!S747</f>
        <v>168796.66</v>
      </c>
      <c r="Q749" s="1045">
        <f t="shared" si="53"/>
        <v>145514.36206896554</v>
      </c>
      <c r="R749" s="1762" t="s">
        <v>67</v>
      </c>
      <c r="S749" s="6">
        <f>OBRA!T747</f>
        <v>45059</v>
      </c>
      <c r="T749" s="1156">
        <f>OBRA!W747</f>
        <v>45061</v>
      </c>
      <c r="U749" s="5">
        <f>OBRA!U747</f>
        <v>45075</v>
      </c>
      <c r="V749" s="11">
        <f>OBRA!V747</f>
        <v>45094</v>
      </c>
      <c r="W749" s="1557">
        <v>0</v>
      </c>
      <c r="X749" s="1041">
        <f>OBRA!AT747+OBRA!AU747</f>
        <v>254158.03</v>
      </c>
      <c r="Y749" s="1110" t="s">
        <v>6083</v>
      </c>
      <c r="Z749" s="146" t="str">
        <f>OBRA!X747</f>
        <v>ESTRUCTURAS PLANEADAS DE OCCIDENTE, S.A. DE C.V.</v>
      </c>
      <c r="AA749" s="146" t="s">
        <v>5669</v>
      </c>
      <c r="AB749" s="148" t="s">
        <v>4480</v>
      </c>
      <c r="AC749" s="146" t="s">
        <v>4481</v>
      </c>
      <c r="AD749" s="148" t="s">
        <v>6048</v>
      </c>
      <c r="AE749" s="1818" t="str">
        <f>OBRA!Y747</f>
        <v>ING. J. GUADALUPE IBARRA RAMIREZ</v>
      </c>
      <c r="AF749" s="884">
        <v>108</v>
      </c>
      <c r="AG749" s="389" t="s">
        <v>1548</v>
      </c>
      <c r="AH749" s="655">
        <f t="shared" si="56"/>
        <v>2353.3150925925925</v>
      </c>
      <c r="AI749" s="389">
        <v>2400</v>
      </c>
      <c r="AJ749" s="389">
        <v>2400</v>
      </c>
      <c r="AK749" s="1993">
        <v>1</v>
      </c>
      <c r="AL749" s="1621">
        <v>20.219604</v>
      </c>
      <c r="AM749" s="1622">
        <v>103.37009</v>
      </c>
      <c r="AN749" s="1628" t="s">
        <v>5530</v>
      </c>
      <c r="AO749" s="1628" t="s">
        <v>5530</v>
      </c>
      <c r="AP749" s="1628" t="s">
        <v>5530</v>
      </c>
      <c r="AQ749" s="523" t="s">
        <v>5530</v>
      </c>
      <c r="AR749" s="523"/>
      <c r="AS749" s="417" t="s">
        <v>5530</v>
      </c>
      <c r="AT749" s="1926">
        <v>0</v>
      </c>
      <c r="AU749" s="1926">
        <v>0</v>
      </c>
      <c r="AV749" s="1926">
        <v>0</v>
      </c>
      <c r="AW749" s="1926">
        <v>0</v>
      </c>
      <c r="AX749" s="1926">
        <v>0</v>
      </c>
      <c r="AY749" s="1926">
        <v>0</v>
      </c>
      <c r="AZ749" s="1926">
        <v>0</v>
      </c>
      <c r="BA749" s="1926">
        <v>0</v>
      </c>
      <c r="BB749" s="1111">
        <v>0</v>
      </c>
      <c r="BC749" s="1111">
        <v>0</v>
      </c>
      <c r="BD749" s="1111">
        <v>0</v>
      </c>
      <c r="BE749" s="1111">
        <v>0</v>
      </c>
      <c r="BF749" s="1111">
        <v>0</v>
      </c>
      <c r="BG749" s="1111">
        <v>0</v>
      </c>
      <c r="BH749" s="1111">
        <v>0</v>
      </c>
      <c r="BI749" s="33" t="s">
        <v>550</v>
      </c>
      <c r="BJ749" s="12"/>
    </row>
    <row r="750" spans="1:62" ht="112.5" hidden="1" customHeight="1">
      <c r="A750" s="16">
        <f>OBRA!K748</f>
        <v>2023</v>
      </c>
      <c r="B750" s="781" t="s">
        <v>3947</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6490</v>
      </c>
      <c r="L750" s="3" t="s">
        <v>6258</v>
      </c>
      <c r="M750" s="674" t="s">
        <v>6085</v>
      </c>
      <c r="N750" s="3" t="str">
        <f>OBRA!R748</f>
        <v>CABECERA MUNICIPAL</v>
      </c>
      <c r="O750" s="505" t="s">
        <v>5532</v>
      </c>
      <c r="P750" s="4">
        <f>OBRA!S748</f>
        <v>254339.78</v>
      </c>
      <c r="Q750" s="1045">
        <f t="shared" si="53"/>
        <v>219258.43103448278</v>
      </c>
      <c r="R750" s="1762" t="s">
        <v>67</v>
      </c>
      <c r="S750" s="6">
        <f>OBRA!T748</f>
        <v>45141</v>
      </c>
      <c r="T750" s="1156">
        <f>OBRA!W748</f>
        <v>45071</v>
      </c>
      <c r="U750" s="5">
        <f>OBRA!U748</f>
        <v>45187</v>
      </c>
      <c r="V750" s="11">
        <f>OBRA!V748</f>
        <v>45219</v>
      </c>
      <c r="W750" s="1834">
        <v>76301.929999999993</v>
      </c>
      <c r="X750" s="1835">
        <f>OBRA!AT748+OBRA!AU748</f>
        <v>341318.49280000001</v>
      </c>
      <c r="Y750" s="1836" t="s">
        <v>6094</v>
      </c>
      <c r="Z750" s="1817" t="str">
        <f>OBRA!X748</f>
        <v>MANUEL PALOS VACA</v>
      </c>
      <c r="AA750" s="1817" t="s">
        <v>5669</v>
      </c>
      <c r="AB750" s="1816" t="s">
        <v>5670</v>
      </c>
      <c r="AC750" s="1817" t="s">
        <v>6095</v>
      </c>
      <c r="AD750" s="1816" t="s">
        <v>6096</v>
      </c>
      <c r="AE750" s="1818" t="str">
        <f>OBRA!Y748</f>
        <v>C. DANIEL RODRIGUEZ VALENZUELA</v>
      </c>
      <c r="AF750" s="19">
        <f>88.95+91.31</f>
        <v>180.26</v>
      </c>
      <c r="AG750" s="2" t="s">
        <v>1450</v>
      </c>
      <c r="AH750" s="655">
        <f t="shared" si="56"/>
        <v>1893.4788239210031</v>
      </c>
      <c r="AI750" s="2">
        <v>50</v>
      </c>
      <c r="AJ750" s="2">
        <v>50</v>
      </c>
      <c r="AK750" s="1991">
        <v>1</v>
      </c>
      <c r="AL750" s="1621">
        <v>20.291170000000001</v>
      </c>
      <c r="AM750" s="1622">
        <v>103.42919500000001</v>
      </c>
      <c r="AN750" s="563" t="s">
        <v>5853</v>
      </c>
      <c r="AO750" s="563" t="s">
        <v>5853</v>
      </c>
      <c r="AP750" s="563" t="s">
        <v>5853</v>
      </c>
      <c r="AQ750" s="502" t="s">
        <v>5853</v>
      </c>
      <c r="AR750" s="502"/>
      <c r="AS750" s="697" t="s">
        <v>5853</v>
      </c>
      <c r="AT750" s="1869">
        <f>86581.35</f>
        <v>86581.35</v>
      </c>
      <c r="AU750" s="1869"/>
      <c r="AV750" s="1869">
        <f>132677.08/1.16</f>
        <v>114376.79310344828</v>
      </c>
      <c r="AW750" s="1869">
        <v>0</v>
      </c>
      <c r="AX750" s="1869">
        <v>0</v>
      </c>
      <c r="AY750" s="1869">
        <v>0</v>
      </c>
      <c r="AZ750" s="1869"/>
      <c r="BA750" s="1869">
        <v>0</v>
      </c>
      <c r="BB750" s="2">
        <v>91.31</v>
      </c>
      <c r="BC750" s="2"/>
      <c r="BD750" s="2">
        <v>88.95</v>
      </c>
      <c r="BE750" s="2">
        <v>0</v>
      </c>
      <c r="BF750" s="2">
        <v>0</v>
      </c>
      <c r="BG750" s="2">
        <v>0</v>
      </c>
      <c r="BH750" s="413"/>
      <c r="BI750" s="413" t="s">
        <v>550</v>
      </c>
      <c r="BJ750" s="12"/>
    </row>
    <row r="751" spans="1:62" ht="126.75" hidden="1" customHeight="1">
      <c r="A751" s="16">
        <f>OBRA!K749</f>
        <v>2023</v>
      </c>
      <c r="B751" s="781" t="s">
        <v>3947</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6491</v>
      </c>
      <c r="L751" s="3" t="s">
        <v>6258</v>
      </c>
      <c r="M751" s="674" t="s">
        <v>6084</v>
      </c>
      <c r="N751" s="3" t="str">
        <f>OBRA!R749</f>
        <v>CABECERA MUNICIPAL</v>
      </c>
      <c r="O751" s="505" t="s">
        <v>5532</v>
      </c>
      <c r="P751" s="4">
        <f>OBRA!S749</f>
        <v>553159.56000000006</v>
      </c>
      <c r="Q751" s="1045">
        <f t="shared" si="53"/>
        <v>476861.68965517252</v>
      </c>
      <c r="R751" s="1762" t="s">
        <v>67</v>
      </c>
      <c r="S751" s="67">
        <f>OBRA!T749</f>
        <v>45141</v>
      </c>
      <c r="T751" s="1156">
        <f>OBRA!W749</f>
        <v>45140</v>
      </c>
      <c r="U751" s="5">
        <f>OBRA!U749</f>
        <v>45148</v>
      </c>
      <c r="V751" s="11">
        <f>OBRA!V749</f>
        <v>45170</v>
      </c>
      <c r="W751" s="1557">
        <v>165947.85999999999</v>
      </c>
      <c r="X751" s="1041">
        <f>OBRA!AT749+OBRA!AU749</f>
        <v>707620.48</v>
      </c>
      <c r="Y751" s="1110" t="s">
        <v>6097</v>
      </c>
      <c r="Z751" s="146" t="str">
        <f>OBRA!X749</f>
        <v>MANUEL PALOS VACA</v>
      </c>
      <c r="AA751" s="146" t="s">
        <v>5668</v>
      </c>
      <c r="AB751" s="1816" t="s">
        <v>5670</v>
      </c>
      <c r="AC751" s="1817" t="s">
        <v>6095</v>
      </c>
      <c r="AD751" s="1816" t="s">
        <v>6096</v>
      </c>
      <c r="AE751" s="1818" t="str">
        <f>OBRA!Y749</f>
        <v>C. DANIEL RODRIGUEZ VALENZUELA</v>
      </c>
      <c r="AF751" s="19">
        <f>146.52+111.12</f>
        <v>257.64</v>
      </c>
      <c r="AG751" s="2" t="s">
        <v>1450</v>
      </c>
      <c r="AH751" s="655">
        <f t="shared" si="56"/>
        <v>2746.5474305232106</v>
      </c>
      <c r="AI751" s="2">
        <v>150</v>
      </c>
      <c r="AJ751" s="2">
        <v>150</v>
      </c>
      <c r="AK751" s="1991">
        <v>1</v>
      </c>
      <c r="AL751" s="1551">
        <v>20.291388999999999</v>
      </c>
      <c r="AM751" s="1552">
        <v>103.43118699999999</v>
      </c>
      <c r="AN751" s="563" t="s">
        <v>6098</v>
      </c>
      <c r="AO751" s="563" t="s">
        <v>6098</v>
      </c>
      <c r="AP751" s="563" t="s">
        <v>6098</v>
      </c>
      <c r="AQ751" s="502" t="s">
        <v>6098</v>
      </c>
      <c r="AR751" s="502"/>
      <c r="AS751" s="697" t="s">
        <v>6098</v>
      </c>
      <c r="AT751" s="1869">
        <f>172144.34*1.16</f>
        <v>199687.43439999997</v>
      </c>
      <c r="AU751" s="1869"/>
      <c r="AV751" s="1869">
        <f>304717.35*1.16</f>
        <v>353472.12599999993</v>
      </c>
      <c r="AW751" s="1869">
        <v>0</v>
      </c>
      <c r="AX751" s="1869">
        <v>0</v>
      </c>
      <c r="AY751" s="1869">
        <v>0</v>
      </c>
      <c r="AZ751" s="1869"/>
      <c r="BA751" s="1869">
        <v>0</v>
      </c>
      <c r="BB751" s="2">
        <v>111.12</v>
      </c>
      <c r="BC751" s="2"/>
      <c r="BD751" s="2">
        <v>146.52000000000001</v>
      </c>
      <c r="BE751" s="2">
        <v>0</v>
      </c>
      <c r="BF751" s="2">
        <v>0</v>
      </c>
      <c r="BG751" s="2">
        <v>0</v>
      </c>
      <c r="BH751" s="413"/>
      <c r="BI751" s="413" t="s">
        <v>550</v>
      </c>
      <c r="BJ751" s="12"/>
    </row>
    <row r="752" spans="1:62" ht="121.5" hidden="1" customHeight="1">
      <c r="A752" s="16">
        <f>OBRA!K750</f>
        <v>2023</v>
      </c>
      <c r="B752" s="781" t="s">
        <v>3947</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6487</v>
      </c>
      <c r="L752" s="3" t="s">
        <v>6258</v>
      </c>
      <c r="M752" s="674" t="s">
        <v>6086</v>
      </c>
      <c r="N752" s="3" t="str">
        <f>OBRA!R750</f>
        <v>CHANTEPEC</v>
      </c>
      <c r="O752" s="505" t="s">
        <v>5532</v>
      </c>
      <c r="P752" s="4">
        <f>OBRA!S750</f>
        <v>724743.66</v>
      </c>
      <c r="Q752" s="1045">
        <f t="shared" si="53"/>
        <v>624779.01724137936</v>
      </c>
      <c r="R752" s="1762" t="s">
        <v>67</v>
      </c>
      <c r="S752" s="6">
        <f>OBRA!T750</f>
        <v>45105</v>
      </c>
      <c r="T752" s="1156">
        <f>OBRA!W750</f>
        <v>45104</v>
      </c>
      <c r="U752" s="5">
        <f>OBRA!U750</f>
        <v>45110</v>
      </c>
      <c r="V752" s="11">
        <f>OBRA!V750</f>
        <v>45141</v>
      </c>
      <c r="W752" s="1557">
        <v>217423.09</v>
      </c>
      <c r="X752" s="1041">
        <f>OBRA!AT750+OBRA!AU750</f>
        <v>683930.4</v>
      </c>
      <c r="Y752" s="1110" t="s">
        <v>6099</v>
      </c>
      <c r="Z752" s="146" t="str">
        <f>OBRA!X750</f>
        <v>EDIFICACIONES Y TERRACERIAS CH, S.A. DE C.V.</v>
      </c>
      <c r="AA752" s="146" t="s">
        <v>5668</v>
      </c>
      <c r="AB752" s="1816" t="s">
        <v>5401</v>
      </c>
      <c r="AC752" s="1817" t="s">
        <v>5402</v>
      </c>
      <c r="AD752" s="1816" t="s">
        <v>6069</v>
      </c>
      <c r="AE752" s="1818" t="str">
        <f>OBRA!Y750</f>
        <v>C. DANIEL RODRIGUEZ VALENZUELA</v>
      </c>
      <c r="AF752" s="19">
        <f>208.61+202.62</f>
        <v>411.23</v>
      </c>
      <c r="AG752" s="2" t="s">
        <v>1450</v>
      </c>
      <c r="AH752" s="655">
        <f t="shared" si="56"/>
        <v>1663.1335262505168</v>
      </c>
      <c r="AI752" s="2">
        <v>150</v>
      </c>
      <c r="AJ752" s="2">
        <v>150</v>
      </c>
      <c r="AK752" s="1991">
        <v>1</v>
      </c>
      <c r="AL752" s="1621">
        <v>20.291482999999999</v>
      </c>
      <c r="AM752" s="1622">
        <v>103.39101599999999</v>
      </c>
      <c r="AN752" s="563" t="s">
        <v>6100</v>
      </c>
      <c r="AO752" s="563" t="s">
        <v>6100</v>
      </c>
      <c r="AP752" s="565"/>
      <c r="AQ752" s="502" t="s">
        <v>6100</v>
      </c>
      <c r="AR752" s="502"/>
      <c r="AS752" s="697" t="s">
        <v>6100</v>
      </c>
      <c r="AT752" s="1875">
        <f>683930.4-AV752</f>
        <v>204189.34000000003</v>
      </c>
      <c r="AU752" s="1875">
        <v>0</v>
      </c>
      <c r="AV752" s="1875">
        <v>479741.06</v>
      </c>
      <c r="AW752" s="1875">
        <v>0</v>
      </c>
      <c r="AX752" s="1875">
        <v>0</v>
      </c>
      <c r="AY752" s="1875">
        <v>0</v>
      </c>
      <c r="AZ752" s="1875">
        <v>0</v>
      </c>
      <c r="BA752" s="1875">
        <v>0</v>
      </c>
      <c r="BB752" s="146">
        <v>202.62</v>
      </c>
      <c r="BC752" s="146">
        <v>0</v>
      </c>
      <c r="BD752" s="146">
        <v>208.61</v>
      </c>
      <c r="BE752" s="146">
        <v>0</v>
      </c>
      <c r="BF752" s="146">
        <v>0</v>
      </c>
      <c r="BG752" s="146">
        <v>0</v>
      </c>
      <c r="BH752" s="146">
        <v>0</v>
      </c>
      <c r="BI752" s="33"/>
      <c r="BJ752" s="12"/>
    </row>
    <row r="753" spans="1:62" ht="160.5" hidden="1" customHeight="1">
      <c r="A753" s="16">
        <f>OBRA!K751</f>
        <v>2023</v>
      </c>
      <c r="B753" s="781" t="s">
        <v>3947</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6492</v>
      </c>
      <c r="L753" s="3" t="s">
        <v>6258</v>
      </c>
      <c r="M753" s="674" t="s">
        <v>6087</v>
      </c>
      <c r="N753" s="3" t="str">
        <f>OBRA!R751</f>
        <v>CHANTEPEC</v>
      </c>
      <c r="O753" s="505" t="s">
        <v>5532</v>
      </c>
      <c r="P753" s="4">
        <f>OBRA!S751</f>
        <v>543995.47</v>
      </c>
      <c r="Q753" s="1045">
        <f t="shared" si="53"/>
        <v>468961.61206896551</v>
      </c>
      <c r="R753" s="1762" t="s">
        <v>67</v>
      </c>
      <c r="S753" s="67">
        <f>OBRA!T751</f>
        <v>45105</v>
      </c>
      <c r="T753" s="1156">
        <f>OBRA!W751</f>
        <v>45104</v>
      </c>
      <c r="U753" s="5">
        <f>OBRA!U751</f>
        <v>45110</v>
      </c>
      <c r="V753" s="11">
        <f>OBRA!V751</f>
        <v>45141</v>
      </c>
      <c r="W753" s="1557">
        <v>163198.64000000001</v>
      </c>
      <c r="X753" s="1041">
        <f>OBRA!AT751+OBRA!AU751</f>
        <v>576880.88</v>
      </c>
      <c r="Y753" s="1110" t="s">
        <v>6101</v>
      </c>
      <c r="Z753" s="146" t="str">
        <f>OBRA!X751</f>
        <v>EDIFICACIONES Y TERRACERIAS CH, S.A. DE C.V.</v>
      </c>
      <c r="AA753" s="146" t="s">
        <v>5669</v>
      </c>
      <c r="AB753" s="1816" t="s">
        <v>5401</v>
      </c>
      <c r="AC753" s="1817" t="s">
        <v>5402</v>
      </c>
      <c r="AD753" s="1816" t="s">
        <v>6069</v>
      </c>
      <c r="AE753" s="1818" t="str">
        <f>OBRA!Y751</f>
        <v>C. DANIEL RODRIGUEZ VALENZUELA</v>
      </c>
      <c r="AF753" s="19">
        <f>170.28+165.18</f>
        <v>335.46000000000004</v>
      </c>
      <c r="AG753" s="2" t="s">
        <v>1450</v>
      </c>
      <c r="AH753" s="655">
        <f t="shared" si="56"/>
        <v>1719.6711381386751</v>
      </c>
      <c r="AI753" s="2">
        <v>100</v>
      </c>
      <c r="AJ753" s="2">
        <v>200</v>
      </c>
      <c r="AK753" s="1991">
        <v>1</v>
      </c>
      <c r="AL753" s="1551">
        <v>20.291975999999998</v>
      </c>
      <c r="AM753" s="1552">
        <v>103.391639</v>
      </c>
      <c r="AN753" s="563" t="s">
        <v>6102</v>
      </c>
      <c r="AO753" s="563" t="s">
        <v>6102</v>
      </c>
      <c r="AP753" s="563" t="s">
        <v>6102</v>
      </c>
      <c r="AQ753" s="502" t="s">
        <v>6102</v>
      </c>
      <c r="AR753" s="502"/>
      <c r="AS753" s="697" t="s">
        <v>6102</v>
      </c>
      <c r="AT753" s="1853">
        <v>185862.88</v>
      </c>
      <c r="AU753" s="1853">
        <v>0</v>
      </c>
      <c r="AV753" s="1853">
        <v>391017.99</v>
      </c>
      <c r="AW753" s="1853">
        <v>0</v>
      </c>
      <c r="AX753" s="1853">
        <v>0</v>
      </c>
      <c r="AY753" s="1853">
        <v>0</v>
      </c>
      <c r="AZ753" s="1853">
        <v>0</v>
      </c>
      <c r="BA753" s="1853">
        <v>0</v>
      </c>
      <c r="BB753" s="514">
        <v>171.18</v>
      </c>
      <c r="BC753" s="514">
        <v>0</v>
      </c>
      <c r="BD753" s="514">
        <v>170.28</v>
      </c>
      <c r="BE753" s="514">
        <v>0</v>
      </c>
      <c r="BF753" s="514">
        <v>0</v>
      </c>
      <c r="BG753" s="514">
        <v>0</v>
      </c>
      <c r="BH753" s="514">
        <v>0</v>
      </c>
      <c r="BI753" s="33" t="s">
        <v>550</v>
      </c>
      <c r="BJ753" s="12"/>
    </row>
    <row r="754" spans="1:62" ht="102" hidden="1" customHeight="1">
      <c r="A754" s="16">
        <f>OBRA!K752</f>
        <v>2023</v>
      </c>
      <c r="B754" s="781" t="s">
        <v>3947</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6493</v>
      </c>
      <c r="L754" s="3" t="s">
        <v>5420</v>
      </c>
      <c r="M754" s="674" t="s">
        <v>6088</v>
      </c>
      <c r="N754" s="3" t="str">
        <f>OBRA!R752</f>
        <v>CRUCERO POTRERILLOS</v>
      </c>
      <c r="O754" s="505" t="s">
        <v>5532</v>
      </c>
      <c r="P754" s="4">
        <f>OBRA!S752</f>
        <v>703136.32</v>
      </c>
      <c r="Q754" s="1045">
        <f t="shared" si="53"/>
        <v>606152</v>
      </c>
      <c r="R754" s="1762" t="s">
        <v>67</v>
      </c>
      <c r="S754" s="67">
        <f>OBRA!T752</f>
        <v>45105</v>
      </c>
      <c r="T754" s="1156">
        <f>OBRA!W752</f>
        <v>45104</v>
      </c>
      <c r="U754" s="5">
        <f>OBRA!U752</f>
        <v>45113</v>
      </c>
      <c r="V754" s="11">
        <f>OBRA!V752</f>
        <v>45168</v>
      </c>
      <c r="W754" s="1557">
        <v>210940.9</v>
      </c>
      <c r="X754" s="1041">
        <f>OBRA!AT752+OBRA!AU752</f>
        <v>871262.6716</v>
      </c>
      <c r="Y754" s="1110" t="s">
        <v>6103</v>
      </c>
      <c r="Z754" s="146" t="str">
        <f>OBRA!X752</f>
        <v>ALSERCON SA DE CV</v>
      </c>
      <c r="AA754" s="146" t="s">
        <v>5669</v>
      </c>
      <c r="AB754" s="1816" t="s">
        <v>2164</v>
      </c>
      <c r="AC754" s="1817" t="s">
        <v>5402</v>
      </c>
      <c r="AD754" s="1816" t="s">
        <v>6069</v>
      </c>
      <c r="AE754" s="1818" t="str">
        <f>OBRA!Y752</f>
        <v>C. DANIEL RODRIGUEZ VALENZUELA</v>
      </c>
      <c r="AF754" s="19">
        <v>924.1</v>
      </c>
      <c r="AG754" s="2" t="s">
        <v>1548</v>
      </c>
      <c r="AH754" s="655">
        <f t="shared" si="56"/>
        <v>942.82293215020013</v>
      </c>
      <c r="AI754" s="2">
        <v>400</v>
      </c>
      <c r="AJ754" s="2">
        <v>400</v>
      </c>
      <c r="AK754" s="1991">
        <v>1</v>
      </c>
      <c r="AL754" s="1551">
        <v>20.300170000000001</v>
      </c>
      <c r="AM754" s="1552">
        <v>103.47023900000001</v>
      </c>
      <c r="AN754" s="563" t="s">
        <v>6104</v>
      </c>
      <c r="AO754" s="563" t="s">
        <v>6104</v>
      </c>
      <c r="AP754" s="563" t="s">
        <v>6104</v>
      </c>
      <c r="AQ754" s="502" t="s">
        <v>6104</v>
      </c>
      <c r="AR754" s="502"/>
      <c r="AS754" s="512"/>
      <c r="AT754" s="1853">
        <v>0</v>
      </c>
      <c r="AU754" s="1853">
        <v>0</v>
      </c>
      <c r="AV754" s="1853">
        <v>0</v>
      </c>
      <c r="AW754" s="1853">
        <v>0</v>
      </c>
      <c r="AX754" s="1853">
        <v>0</v>
      </c>
      <c r="AY754" s="1853">
        <v>0</v>
      </c>
      <c r="AZ754" s="1853">
        <v>0</v>
      </c>
      <c r="BA754" s="1853">
        <v>0</v>
      </c>
      <c r="BB754" s="514">
        <v>0</v>
      </c>
      <c r="BC754" s="514">
        <v>0</v>
      </c>
      <c r="BD754" s="514">
        <v>0</v>
      </c>
      <c r="BE754" s="514">
        <v>0</v>
      </c>
      <c r="BF754" s="514">
        <v>0</v>
      </c>
      <c r="BG754" s="514">
        <v>0</v>
      </c>
      <c r="BH754" s="514">
        <v>0</v>
      </c>
      <c r="BI754" s="33"/>
      <c r="BJ754" s="12"/>
    </row>
    <row r="755" spans="1:62" ht="66" hidden="1" customHeight="1">
      <c r="A755" s="16">
        <f>OBRA!K753</f>
        <v>2023</v>
      </c>
      <c r="B755" s="781" t="s">
        <v>3947</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674" t="s">
        <v>6472</v>
      </c>
      <c r="L755" s="3" t="s">
        <v>6242</v>
      </c>
      <c r="M755" s="674" t="s">
        <v>2002</v>
      </c>
      <c r="N755" s="3" t="str">
        <f>OBRA!R753</f>
        <v>CABECERA MUNICIPAL</v>
      </c>
      <c r="O755" s="505" t="s">
        <v>5532</v>
      </c>
      <c r="P755" s="4">
        <f>OBRA!S753</f>
        <v>821212.44</v>
      </c>
      <c r="Q755" s="1045">
        <f t="shared" si="53"/>
        <v>707941.75862068962</v>
      </c>
      <c r="R755" s="1762" t="s">
        <v>67</v>
      </c>
      <c r="S755" s="6">
        <f>OBRA!T753</f>
        <v>45134</v>
      </c>
      <c r="T755" s="1156">
        <f>OBRA!W753</f>
        <v>45131</v>
      </c>
      <c r="U755" s="5">
        <f>OBRA!U753</f>
        <v>45145</v>
      </c>
      <c r="V755" s="11">
        <f>OBRA!V753</f>
        <v>45169</v>
      </c>
      <c r="W755" s="1557">
        <v>246363.73</v>
      </c>
      <c r="X755" s="1041">
        <f>OBRA!AT753+OBRA!AU753</f>
        <v>821212.14</v>
      </c>
      <c r="Y755" s="1110" t="s">
        <v>6473</v>
      </c>
      <c r="Z755" s="1817" t="str">
        <f>OBRA!X753</f>
        <v>C. ANA LUZ HIDALGO VELA</v>
      </c>
      <c r="AA755" s="1817" t="s">
        <v>5668</v>
      </c>
      <c r="AB755" s="1816" t="s">
        <v>6105</v>
      </c>
      <c r="AC755" s="1817" t="s">
        <v>6106</v>
      </c>
      <c r="AD755" s="1816" t="s">
        <v>6107</v>
      </c>
      <c r="AE755" s="1818" t="str">
        <f>OBRA!Y753</f>
        <v>ARQ. JAIME CONDE GOMEZ</v>
      </c>
      <c r="AF755" s="19">
        <v>15</v>
      </c>
      <c r="AG755" s="2" t="s">
        <v>1450</v>
      </c>
      <c r="AH755" s="655">
        <f t="shared" si="56"/>
        <v>54747.476000000002</v>
      </c>
      <c r="AI755" s="2">
        <v>2000</v>
      </c>
      <c r="AJ755" s="2">
        <v>48500</v>
      </c>
      <c r="AK755" s="1991">
        <v>1</v>
      </c>
      <c r="AL755" s="1621">
        <v>20.279288999999999</v>
      </c>
      <c r="AM755" s="1622">
        <v>103.444957</v>
      </c>
      <c r="AN755" s="563" t="s">
        <v>6108</v>
      </c>
      <c r="AO755" s="563" t="s">
        <v>6108</v>
      </c>
      <c r="AP755" s="563" t="s">
        <v>6108</v>
      </c>
      <c r="AQ755" s="502" t="s">
        <v>6108</v>
      </c>
      <c r="AR755" s="502"/>
      <c r="AS755" s="512"/>
      <c r="AT755" s="1853">
        <v>0</v>
      </c>
      <c r="AU755" s="1853">
        <v>0</v>
      </c>
      <c r="AV755" s="1853">
        <v>0</v>
      </c>
      <c r="AW755" s="1853">
        <v>0</v>
      </c>
      <c r="AX755" s="1853">
        <v>0</v>
      </c>
      <c r="AY755" s="1853">
        <v>0</v>
      </c>
      <c r="AZ755" s="1853">
        <v>0</v>
      </c>
      <c r="BA755" s="1853">
        <v>0</v>
      </c>
      <c r="BB755" s="514">
        <v>0</v>
      </c>
      <c r="BC755" s="514">
        <v>0</v>
      </c>
      <c r="BD755" s="514">
        <v>0</v>
      </c>
      <c r="BE755" s="514">
        <v>0</v>
      </c>
      <c r="BF755" s="514">
        <v>0</v>
      </c>
      <c r="BG755" s="514">
        <v>0</v>
      </c>
      <c r="BH755" s="514">
        <v>0</v>
      </c>
      <c r="BI755" s="33"/>
      <c r="BJ755" s="12"/>
    </row>
    <row r="756" spans="1:62" ht="132" hidden="1" customHeight="1">
      <c r="A756" s="16">
        <f>OBRA!K754</f>
        <v>2023</v>
      </c>
      <c r="B756" s="781" t="s">
        <v>3947</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624" t="s">
        <v>6496</v>
      </c>
      <c r="L756" s="3" t="s">
        <v>4755</v>
      </c>
      <c r="M756" s="674" t="s">
        <v>2639</v>
      </c>
      <c r="N756" s="3" t="str">
        <f>OBRA!R754</f>
        <v>SAN JUAN COSALÁ</v>
      </c>
      <c r="O756" s="505" t="s">
        <v>5532</v>
      </c>
      <c r="P756" s="4">
        <f>OBRA!S754</f>
        <v>4998360.84</v>
      </c>
      <c r="Q756" s="1045">
        <f t="shared" ref="Q756:Q803" si="57">P756/1.16</f>
        <v>4308931.7586206896</v>
      </c>
      <c r="R756" s="1762" t="s">
        <v>67</v>
      </c>
      <c r="S756" s="6">
        <f>OBRA!T754</f>
        <v>45152</v>
      </c>
      <c r="T756" s="1156" t="str">
        <f>OBRA!W754</f>
        <v>-</v>
      </c>
      <c r="U756" s="5">
        <f>OBRA!U754</f>
        <v>45155</v>
      </c>
      <c r="V756" s="11">
        <f>OBRA!V754</f>
        <v>45274</v>
      </c>
      <c r="W756" s="1557">
        <v>1499508.25</v>
      </c>
      <c r="X756" s="1041">
        <f>OBRA!AT754+OBRA!AU754</f>
        <v>5362257.2</v>
      </c>
      <c r="Y756" s="1110" t="s">
        <v>6109</v>
      </c>
      <c r="Z756" s="146" t="str">
        <f>OBRA!X754</f>
        <v>C. SERGIO CABRERA</v>
      </c>
      <c r="AA756" s="146" t="s">
        <v>5668</v>
      </c>
      <c r="AB756" s="1816" t="s">
        <v>4447</v>
      </c>
      <c r="AC756" s="146" t="s">
        <v>1922</v>
      </c>
      <c r="AD756" s="148" t="s">
        <v>6049</v>
      </c>
      <c r="AE756" s="1818" t="str">
        <f>OBRA!Y754</f>
        <v>C. DANIEL RODRIGUEZ VALENZUELA</v>
      </c>
      <c r="AF756" s="19">
        <v>4605.49</v>
      </c>
      <c r="AG756" s="2" t="s">
        <v>1548</v>
      </c>
      <c r="AH756" s="655">
        <f t="shared" si="56"/>
        <v>1164.318498140263</v>
      </c>
      <c r="AI756" s="2">
        <v>350</v>
      </c>
      <c r="AJ756" s="2">
        <v>8000</v>
      </c>
      <c r="AK756" s="1991">
        <v>1</v>
      </c>
      <c r="AL756" s="1551">
        <v>20.288902</v>
      </c>
      <c r="AM756" s="1552">
        <v>103.34813</v>
      </c>
      <c r="AN756" s="563" t="s">
        <v>6110</v>
      </c>
      <c r="AO756" s="563" t="s">
        <v>6110</v>
      </c>
      <c r="AP756" s="563" t="s">
        <v>6110</v>
      </c>
      <c r="AQ756" s="502" t="s">
        <v>6110</v>
      </c>
      <c r="AR756" s="502"/>
      <c r="AS756" s="697" t="s">
        <v>6110</v>
      </c>
      <c r="AT756" s="1853">
        <v>0</v>
      </c>
      <c r="AU756" s="1853">
        <v>0</v>
      </c>
      <c r="AV756" s="1853">
        <v>0</v>
      </c>
      <c r="AW756" s="1853">
        <v>0</v>
      </c>
      <c r="AX756" s="1853">
        <v>0</v>
      </c>
      <c r="AY756" s="1853">
        <v>0</v>
      </c>
      <c r="AZ756" s="1853">
        <v>0</v>
      </c>
      <c r="BA756" s="1853">
        <v>0</v>
      </c>
      <c r="BB756" s="514">
        <v>0</v>
      </c>
      <c r="BC756" s="514">
        <v>0</v>
      </c>
      <c r="BD756" s="514">
        <v>0</v>
      </c>
      <c r="BE756" s="514">
        <v>0</v>
      </c>
      <c r="BF756" s="514">
        <v>0</v>
      </c>
      <c r="BG756" s="514">
        <v>0</v>
      </c>
      <c r="BH756" s="514">
        <v>0</v>
      </c>
      <c r="BI756" s="33" t="s">
        <v>550</v>
      </c>
      <c r="BJ756" s="12"/>
    </row>
    <row r="757" spans="1:62" ht="136.5" hidden="1" customHeight="1">
      <c r="A757" s="16">
        <f>OBRA!K755</f>
        <v>2023</v>
      </c>
      <c r="B757" s="781" t="s">
        <v>3947</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624" t="s">
        <v>6498</v>
      </c>
      <c r="L757" s="3" t="s">
        <v>4755</v>
      </c>
      <c r="M757" s="674" t="s">
        <v>6086</v>
      </c>
      <c r="N757" s="3" t="str">
        <f>OBRA!R755</f>
        <v>CHANTEPEC</v>
      </c>
      <c r="O757" s="505" t="s">
        <v>5532</v>
      </c>
      <c r="P757" s="4">
        <f>OBRA!S755</f>
        <v>2808816.17</v>
      </c>
      <c r="Q757" s="1045">
        <f t="shared" si="57"/>
        <v>2421393.25</v>
      </c>
      <c r="R757" s="1762" t="s">
        <v>67</v>
      </c>
      <c r="S757" s="67">
        <f>OBRA!T755</f>
        <v>45168</v>
      </c>
      <c r="T757" s="1156" t="str">
        <f>OBRA!W755</f>
        <v>-</v>
      </c>
      <c r="U757" s="5">
        <f>OBRA!U755</f>
        <v>45173</v>
      </c>
      <c r="V757" s="11">
        <f>OBRA!V755</f>
        <v>45237</v>
      </c>
      <c r="W757" s="1557">
        <v>842644.85</v>
      </c>
      <c r="X757" s="1041">
        <f>OBRA!AT755+OBRA!AU755</f>
        <v>2808775.53</v>
      </c>
      <c r="Y757" s="1110" t="s">
        <v>6111</v>
      </c>
      <c r="Z757" s="146" t="str">
        <f>OBRA!X755</f>
        <v>ALSERCON SA DE CV</v>
      </c>
      <c r="AA757" s="1817" t="s">
        <v>5669</v>
      </c>
      <c r="AB757" s="1816" t="s">
        <v>2164</v>
      </c>
      <c r="AC757" s="1817" t="s">
        <v>2165</v>
      </c>
      <c r="AD757" s="1816" t="s">
        <v>6112</v>
      </c>
      <c r="AE757" s="1818" t="str">
        <f>OBRA!Y755</f>
        <v>C. DANIEL RODRIGUEZ VALENZUELA</v>
      </c>
      <c r="AF757" s="19">
        <v>1828.1</v>
      </c>
      <c r="AG757" s="2" t="s">
        <v>1548</v>
      </c>
      <c r="AH757" s="655">
        <f t="shared" si="56"/>
        <v>1536.4452327553197</v>
      </c>
      <c r="AI757" s="2">
        <v>150</v>
      </c>
      <c r="AJ757" s="2">
        <v>500</v>
      </c>
      <c r="AK757" s="1991">
        <v>1</v>
      </c>
      <c r="AL757" s="1551">
        <v>20.291482999999999</v>
      </c>
      <c r="AM757" s="1552">
        <v>103.39101599999999</v>
      </c>
      <c r="AN757" s="563" t="s">
        <v>6113</v>
      </c>
      <c r="AO757" s="563" t="s">
        <v>6113</v>
      </c>
      <c r="AP757" s="563" t="s">
        <v>6113</v>
      </c>
      <c r="AQ757" s="502" t="s">
        <v>6113</v>
      </c>
      <c r="AR757" s="502"/>
      <c r="AS757" s="512"/>
      <c r="AT757" s="1853">
        <v>0</v>
      </c>
      <c r="AU757" s="1853">
        <v>0</v>
      </c>
      <c r="AV757" s="1853">
        <v>0</v>
      </c>
      <c r="AW757" s="1853">
        <v>0</v>
      </c>
      <c r="AX757" s="1853">
        <v>0</v>
      </c>
      <c r="AY757" s="1853">
        <v>0</v>
      </c>
      <c r="AZ757" s="1853">
        <v>0</v>
      </c>
      <c r="BA757" s="1853">
        <v>0</v>
      </c>
      <c r="BB757" s="514">
        <v>0</v>
      </c>
      <c r="BC757" s="514">
        <v>0</v>
      </c>
      <c r="BD757" s="514">
        <v>0</v>
      </c>
      <c r="BE757" s="514">
        <v>0</v>
      </c>
      <c r="BF757" s="514">
        <v>0</v>
      </c>
      <c r="BG757" s="514">
        <v>0</v>
      </c>
      <c r="BH757" s="514">
        <v>0</v>
      </c>
      <c r="BI757" s="33"/>
      <c r="BJ757" s="12"/>
    </row>
    <row r="758" spans="1:62" ht="94.5" hidden="1" customHeight="1">
      <c r="A758" s="16">
        <f>OBRA!K756</f>
        <v>2023</v>
      </c>
      <c r="B758" s="781" t="s">
        <v>3947</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624" t="s">
        <v>6501</v>
      </c>
      <c r="L758" s="3" t="s">
        <v>4755</v>
      </c>
      <c r="M758" s="674" t="s">
        <v>6087</v>
      </c>
      <c r="N758" s="3" t="str">
        <f>OBRA!R756</f>
        <v>CHANTEPEC</v>
      </c>
      <c r="O758" s="505" t="s">
        <v>5532</v>
      </c>
      <c r="P758" s="4">
        <f>OBRA!S756</f>
        <v>2049615.46</v>
      </c>
      <c r="Q758" s="1045">
        <f t="shared" si="57"/>
        <v>1766909.8793103448</v>
      </c>
      <c r="R758" s="1762" t="s">
        <v>67</v>
      </c>
      <c r="S758" s="67">
        <f>OBRA!T756</f>
        <v>45168</v>
      </c>
      <c r="T758" s="1156">
        <f>OBRA!W756</f>
        <v>45163</v>
      </c>
      <c r="U758" s="5">
        <f>OBRA!U756</f>
        <v>45180</v>
      </c>
      <c r="V758" s="11">
        <f>OBRA!V756</f>
        <v>45230</v>
      </c>
      <c r="W758" s="1557">
        <v>614884.64</v>
      </c>
      <c r="X758" s="1041">
        <f>OBRA!AT756+OBRA!AU756</f>
        <v>2059505.58</v>
      </c>
      <c r="Y758" s="1110" t="s">
        <v>6114</v>
      </c>
      <c r="Z758" s="146" t="str">
        <f>OBRA!X756</f>
        <v>C. REFUGIO GUTIÉRREZ NIEVES</v>
      </c>
      <c r="AA758" s="1817" t="s">
        <v>5668</v>
      </c>
      <c r="AB758" s="1816" t="s">
        <v>6115</v>
      </c>
      <c r="AC758" s="1817" t="s">
        <v>4583</v>
      </c>
      <c r="AD758" s="1816" t="s">
        <v>6116</v>
      </c>
      <c r="AE758" s="1818" t="str">
        <f>OBRA!Y756</f>
        <v>C. DANIEL RODRIGUEZ VALENZUELA</v>
      </c>
      <c r="AF758" s="19">
        <v>1368</v>
      </c>
      <c r="AG758" s="2" t="s">
        <v>1548</v>
      </c>
      <c r="AH758" s="655">
        <f t="shared" si="56"/>
        <v>1505.4865350877194</v>
      </c>
      <c r="AI758" s="2">
        <v>100</v>
      </c>
      <c r="AJ758" s="2">
        <v>500</v>
      </c>
      <c r="AK758" s="1991">
        <v>1</v>
      </c>
      <c r="AL758" s="1551">
        <v>20.291975999999998</v>
      </c>
      <c r="AM758" s="1552">
        <v>103.391639</v>
      </c>
      <c r="AN758" s="563" t="s">
        <v>6117</v>
      </c>
      <c r="AO758" s="563" t="s">
        <v>6117</v>
      </c>
      <c r="AP758" s="563" t="s">
        <v>6117</v>
      </c>
      <c r="AQ758" s="502" t="s">
        <v>6117</v>
      </c>
      <c r="AR758" s="502"/>
      <c r="AS758" s="697" t="s">
        <v>6117</v>
      </c>
      <c r="AT758" s="1853">
        <v>0</v>
      </c>
      <c r="AU758" s="1853">
        <v>0</v>
      </c>
      <c r="AV758" s="1853">
        <v>0</v>
      </c>
      <c r="AW758" s="1853">
        <v>0</v>
      </c>
      <c r="AX758" s="1853">
        <v>0</v>
      </c>
      <c r="AY758" s="1853">
        <v>0</v>
      </c>
      <c r="AZ758" s="1853">
        <v>0</v>
      </c>
      <c r="BA758" s="1853">
        <v>0</v>
      </c>
      <c r="BB758" s="514">
        <v>0</v>
      </c>
      <c r="BC758" s="514">
        <v>0</v>
      </c>
      <c r="BD758" s="514">
        <v>0</v>
      </c>
      <c r="BE758" s="514">
        <v>0</v>
      </c>
      <c r="BF758" s="514">
        <v>0</v>
      </c>
      <c r="BG758" s="514">
        <v>0</v>
      </c>
      <c r="BH758" s="514">
        <v>0</v>
      </c>
      <c r="BI758" s="33" t="s">
        <v>550</v>
      </c>
      <c r="BJ758" s="12"/>
    </row>
    <row r="759" spans="1:62" ht="131.25" hidden="1" customHeight="1">
      <c r="A759" s="16">
        <f>OBRA!K757</f>
        <v>2023</v>
      </c>
      <c r="B759" s="781" t="s">
        <v>3947</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6502</v>
      </c>
      <c r="L759" s="3" t="s">
        <v>6243</v>
      </c>
      <c r="M759" s="674" t="s">
        <v>6089</v>
      </c>
      <c r="N759" s="3" t="str">
        <f>OBRA!R757</f>
        <v>HUEJOTITÁN</v>
      </c>
      <c r="O759" s="505" t="s">
        <v>5532</v>
      </c>
      <c r="P759" s="4">
        <f>OBRA!S757</f>
        <v>304838.93</v>
      </c>
      <c r="Q759" s="1045">
        <f t="shared" si="57"/>
        <v>262792.18103448278</v>
      </c>
      <c r="R759" s="1762" t="s">
        <v>67</v>
      </c>
      <c r="S759" s="67">
        <f>OBRA!T757</f>
        <v>45166</v>
      </c>
      <c r="T759" s="1156">
        <f>OBRA!W757</f>
        <v>45167</v>
      </c>
      <c r="U759" s="5">
        <f>OBRA!U757</f>
        <v>45168</v>
      </c>
      <c r="V759" s="11">
        <f>OBRA!V757</f>
        <v>45199</v>
      </c>
      <c r="W759" s="1557">
        <v>0</v>
      </c>
      <c r="X759" s="1041">
        <f>OBRA!AT757+OBRA!AU757</f>
        <v>324751.53000000003</v>
      </c>
      <c r="Y759" s="1110" t="s">
        <v>6118</v>
      </c>
      <c r="Z759" s="146" t="str">
        <f>OBRA!X757</f>
        <v xml:space="preserve">DORIA &amp; SAMPIER CONSTRUCTORA, S.A. DE C.V. </v>
      </c>
      <c r="AA759" s="146" t="s">
        <v>5669</v>
      </c>
      <c r="AB759" s="1816" t="s">
        <v>5610</v>
      </c>
      <c r="AC759" s="1817" t="s">
        <v>4404</v>
      </c>
      <c r="AD759" s="1816" t="s">
        <v>5611</v>
      </c>
      <c r="AE759" s="1818" t="str">
        <f>OBRA!Y757</f>
        <v>ARQ. JAIME CONDE GOMEZ</v>
      </c>
      <c r="AF759" s="19">
        <v>596.96</v>
      </c>
      <c r="AG759" s="2" t="s">
        <v>1548</v>
      </c>
      <c r="AH759" s="655">
        <f t="shared" si="56"/>
        <v>544.00886156526406</v>
      </c>
      <c r="AI759" s="2">
        <v>1300</v>
      </c>
      <c r="AJ759" s="2">
        <v>1300</v>
      </c>
      <c r="AK759" s="1991">
        <v>1</v>
      </c>
      <c r="AL759" s="1551">
        <v>20.354331999999999</v>
      </c>
      <c r="AM759" s="1552">
        <v>103.487101</v>
      </c>
      <c r="AN759" s="563" t="s">
        <v>6120</v>
      </c>
      <c r="AO759" s="563" t="s">
        <v>6120</v>
      </c>
      <c r="AP759" s="563" t="s">
        <v>6120</v>
      </c>
      <c r="AQ759" s="563" t="s">
        <v>6120</v>
      </c>
      <c r="AR759" s="786"/>
      <c r="AS759" s="512"/>
      <c r="AT759" s="1853">
        <v>0</v>
      </c>
      <c r="AU759" s="1853">
        <v>0</v>
      </c>
      <c r="AV759" s="1853">
        <v>0</v>
      </c>
      <c r="AW759" s="1853">
        <v>0</v>
      </c>
      <c r="AX759" s="1853">
        <v>0</v>
      </c>
      <c r="AY759" s="1853">
        <v>0</v>
      </c>
      <c r="AZ759" s="1853">
        <v>0</v>
      </c>
      <c r="BA759" s="1853">
        <v>0</v>
      </c>
      <c r="BB759" s="514">
        <v>0</v>
      </c>
      <c r="BC759" s="514">
        <v>0</v>
      </c>
      <c r="BD759" s="514">
        <v>0</v>
      </c>
      <c r="BE759" s="514">
        <v>0</v>
      </c>
      <c r="BF759" s="514">
        <v>0</v>
      </c>
      <c r="BG759" s="514">
        <v>0</v>
      </c>
      <c r="BH759" s="514">
        <v>0</v>
      </c>
      <c r="BI759" s="33"/>
      <c r="BJ759" s="12"/>
    </row>
    <row r="760" spans="1:62" ht="105" hidden="1" customHeight="1">
      <c r="A760" s="16">
        <f>OBRA!K758</f>
        <v>2023</v>
      </c>
      <c r="B760" s="781" t="s">
        <v>3947</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6504</v>
      </c>
      <c r="L760" s="3" t="s">
        <v>6254</v>
      </c>
      <c r="M760" s="674" t="s">
        <v>6090</v>
      </c>
      <c r="N760" s="3" t="str">
        <f>OBRA!R758</f>
        <v>SAN JUAN COSALÁ</v>
      </c>
      <c r="O760" s="505" t="s">
        <v>5532</v>
      </c>
      <c r="P760" s="4">
        <f>OBRA!S758</f>
        <v>853249.52</v>
      </c>
      <c r="Q760" s="1045">
        <f t="shared" si="57"/>
        <v>735559.93103448278</v>
      </c>
      <c r="R760" s="1762" t="s">
        <v>67</v>
      </c>
      <c r="S760" s="67">
        <f>OBRA!T758</f>
        <v>45203</v>
      </c>
      <c r="T760" s="1156">
        <f>OBRA!W758</f>
        <v>45202</v>
      </c>
      <c r="U760" s="5">
        <f>OBRA!U758</f>
        <v>45209</v>
      </c>
      <c r="V760" s="11">
        <f>OBRA!V758</f>
        <v>45222</v>
      </c>
      <c r="W760" s="1557">
        <v>255974.85</v>
      </c>
      <c r="X760" s="1041">
        <f>OBRA!AT758+OBRA!AU758</f>
        <v>1011271.1799999999</v>
      </c>
      <c r="Y760" s="1110" t="s">
        <v>6121</v>
      </c>
      <c r="Z760" s="146" t="str">
        <f>OBRA!X758</f>
        <v>ING. SERGIO CABRERA</v>
      </c>
      <c r="AA760" s="146" t="s">
        <v>5668</v>
      </c>
      <c r="AB760" s="1816" t="s">
        <v>4447</v>
      </c>
      <c r="AC760" s="146" t="s">
        <v>1922</v>
      </c>
      <c r="AD760" s="148" t="s">
        <v>6049</v>
      </c>
      <c r="AE760" s="1818" t="str">
        <f>OBRA!Y758</f>
        <v>C. DANIEL RODRIGUEZ VALENZUELA</v>
      </c>
      <c r="AF760" s="555">
        <v>1260</v>
      </c>
      <c r="AG760" s="2" t="s">
        <v>1548</v>
      </c>
      <c r="AH760" s="655">
        <f t="shared" si="56"/>
        <v>802.59617460317452</v>
      </c>
      <c r="AI760" s="2">
        <v>350</v>
      </c>
      <c r="AJ760" s="2">
        <v>8000</v>
      </c>
      <c r="AK760" s="1991">
        <v>1</v>
      </c>
      <c r="AL760" s="1621">
        <v>20.288902</v>
      </c>
      <c r="AM760" s="1622">
        <v>103.34813</v>
      </c>
      <c r="AN760" s="563" t="s">
        <v>6162</v>
      </c>
      <c r="AO760" s="563" t="s">
        <v>6162</v>
      </c>
      <c r="AP760" s="563" t="s">
        <v>6162</v>
      </c>
      <c r="AQ760" s="502" t="s">
        <v>6162</v>
      </c>
      <c r="AR760" s="502"/>
      <c r="AS760" s="512"/>
      <c r="AT760" s="1869">
        <v>0</v>
      </c>
      <c r="AU760" s="1869">
        <v>0</v>
      </c>
      <c r="AV760" s="1869">
        <v>0</v>
      </c>
      <c r="AW760" s="1869">
        <v>0</v>
      </c>
      <c r="AX760" s="1869">
        <v>0</v>
      </c>
      <c r="AY760" s="1869">
        <f>473652*1.16</f>
        <v>549436.31999999995</v>
      </c>
      <c r="AZ760" s="1869">
        <v>0</v>
      </c>
      <c r="BA760" s="1869">
        <f>(735559.89-473652)*1.16</f>
        <v>303813.15240000002</v>
      </c>
      <c r="BB760" s="2">
        <v>0</v>
      </c>
      <c r="BC760" s="2">
        <v>0</v>
      </c>
      <c r="BD760" s="2">
        <v>0</v>
      </c>
      <c r="BE760" s="2">
        <v>0</v>
      </c>
      <c r="BF760" s="2">
        <v>0</v>
      </c>
      <c r="BG760" s="2">
        <v>1200</v>
      </c>
      <c r="BH760" s="413">
        <v>0</v>
      </c>
      <c r="BI760" s="413"/>
      <c r="BJ760" s="12"/>
    </row>
    <row r="761" spans="1:62" ht="62.25" hidden="1" customHeight="1">
      <c r="A761" s="16">
        <f>OBRA!K759</f>
        <v>2023</v>
      </c>
      <c r="B761" s="781" t="s">
        <v>3947</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6043</v>
      </c>
      <c r="P761" s="4">
        <f>OBRA!S759</f>
        <v>247646.07999999999</v>
      </c>
      <c r="Q761" s="1045">
        <f t="shared" si="57"/>
        <v>213488</v>
      </c>
      <c r="R761" s="1762"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5669</v>
      </c>
      <c r="AB761" s="1816" t="s">
        <v>4551</v>
      </c>
      <c r="AC761" s="1817" t="s">
        <v>4552</v>
      </c>
      <c r="AD761" s="1816" t="s">
        <v>4553</v>
      </c>
      <c r="AE761" s="1818" t="str">
        <f>OBRA!Y759</f>
        <v>C. DANIEL RODRIGUEZ VALENZUELA</v>
      </c>
      <c r="AF761" s="161"/>
      <c r="AG761" s="511"/>
      <c r="AH761" s="655" t="e">
        <f t="shared" si="56"/>
        <v>#DIV/0!</v>
      </c>
      <c r="AI761" s="511"/>
      <c r="AJ761" s="507"/>
      <c r="AK761" s="1815"/>
      <c r="AL761" s="1553"/>
      <c r="AM761" s="1554"/>
      <c r="AN761" s="565"/>
      <c r="AO761" s="565"/>
      <c r="AP761" s="565"/>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hidden="1" customHeight="1">
      <c r="A762" s="16">
        <f>OBRA!K760</f>
        <v>2023</v>
      </c>
      <c r="B762" s="781" t="s">
        <v>3947</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6506</v>
      </c>
      <c r="L762" s="3" t="s">
        <v>4754</v>
      </c>
      <c r="M762" s="3" t="s">
        <v>6029</v>
      </c>
      <c r="N762" s="3" t="str">
        <f>OBRA!R760</f>
        <v>SAN JUAN COSALÁ</v>
      </c>
      <c r="O762" s="505" t="s">
        <v>5532</v>
      </c>
      <c r="P762" s="4">
        <f>OBRA!S760</f>
        <v>330252</v>
      </c>
      <c r="Q762" s="1045">
        <f t="shared" si="57"/>
        <v>284700</v>
      </c>
      <c r="R762" s="1762" t="s">
        <v>67</v>
      </c>
      <c r="S762" s="67">
        <f>OBRA!T760</f>
        <v>45212</v>
      </c>
      <c r="T762" s="1156">
        <f>OBRA!W760</f>
        <v>45212</v>
      </c>
      <c r="U762" s="5">
        <f>OBRA!U760</f>
        <v>45222</v>
      </c>
      <c r="V762" s="11">
        <f>OBRA!V760</f>
        <v>45282</v>
      </c>
      <c r="W762" s="279">
        <v>99075.6</v>
      </c>
      <c r="X762" s="1041">
        <f>OBRA!AT760+OBRA!AU760</f>
        <v>428834.82</v>
      </c>
      <c r="Y762" s="1110" t="s">
        <v>6122</v>
      </c>
      <c r="Z762" s="146" t="str">
        <f>OBRA!X760</f>
        <v>SOLEC ENERGY, S.A. DE C.V.</v>
      </c>
      <c r="AA762" s="146" t="s">
        <v>5669</v>
      </c>
      <c r="AB762" s="148" t="s">
        <v>4551</v>
      </c>
      <c r="AC762" s="146" t="s">
        <v>4552</v>
      </c>
      <c r="AD762" s="148" t="s">
        <v>6123</v>
      </c>
      <c r="AE762" s="184" t="str">
        <f>OBRA!Y760</f>
        <v>C. DANIEL RODRIGUEZ VALENZUELA</v>
      </c>
      <c r="AF762" s="19">
        <v>1</v>
      </c>
      <c r="AG762" s="2" t="s">
        <v>1462</v>
      </c>
      <c r="AH762" s="655">
        <f t="shared" si="56"/>
        <v>428834.82</v>
      </c>
      <c r="AI762" s="2">
        <v>1000</v>
      </c>
      <c r="AJ762" s="2">
        <v>4000</v>
      </c>
      <c r="AK762" s="1991">
        <v>1</v>
      </c>
      <c r="AL762" s="1551">
        <v>20.292089000000001</v>
      </c>
      <c r="AM762" s="1552">
        <v>103.348386</v>
      </c>
      <c r="AN762" s="563" t="s">
        <v>5875</v>
      </c>
      <c r="AO762" s="563" t="s">
        <v>5875</v>
      </c>
      <c r="AP762" s="563" t="s">
        <v>5875</v>
      </c>
      <c r="AQ762" s="507"/>
      <c r="AR762" s="507"/>
      <c r="AS762" s="697" t="s">
        <v>5875</v>
      </c>
      <c r="AT762" s="1853">
        <v>0</v>
      </c>
      <c r="AU762" s="1853">
        <v>0</v>
      </c>
      <c r="AV762" s="1853">
        <v>0</v>
      </c>
      <c r="AW762" s="1853">
        <v>0</v>
      </c>
      <c r="AX762" s="1853">
        <v>0</v>
      </c>
      <c r="AY762" s="1853">
        <v>0</v>
      </c>
      <c r="AZ762" s="1853">
        <v>0</v>
      </c>
      <c r="BA762" s="1853">
        <v>0</v>
      </c>
      <c r="BB762" s="514">
        <v>0</v>
      </c>
      <c r="BC762" s="514">
        <v>0</v>
      </c>
      <c r="BD762" s="514">
        <v>0</v>
      </c>
      <c r="BE762" s="514">
        <v>0</v>
      </c>
      <c r="BF762" s="514">
        <v>0</v>
      </c>
      <c r="BG762" s="514">
        <v>0</v>
      </c>
      <c r="BH762" s="514">
        <v>0</v>
      </c>
      <c r="BI762" s="33"/>
      <c r="BJ762" s="12"/>
    </row>
    <row r="763" spans="1:62" ht="267" hidden="1" customHeight="1">
      <c r="A763" s="16">
        <f>OBRA!K761</f>
        <v>2023</v>
      </c>
      <c r="B763" s="781" t="s">
        <v>3947</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6507</v>
      </c>
      <c r="L763" s="3" t="s">
        <v>6243</v>
      </c>
      <c r="M763" s="674" t="s">
        <v>6089</v>
      </c>
      <c r="N763" s="3" t="str">
        <f>OBRA!R761</f>
        <v>CHANTEPEC</v>
      </c>
      <c r="O763" s="505" t="s">
        <v>6043</v>
      </c>
      <c r="P763" s="4">
        <f>OBRA!S761</f>
        <v>5281923.58</v>
      </c>
      <c r="Q763" s="1045">
        <f t="shared" si="57"/>
        <v>4553382.3965517245</v>
      </c>
      <c r="R763" s="1762" t="s">
        <v>67</v>
      </c>
      <c r="S763" s="67">
        <f>OBRA!T761</f>
        <v>45245</v>
      </c>
      <c r="T763" s="1156" t="str">
        <f>OBRA!W761</f>
        <v>-</v>
      </c>
      <c r="U763" s="5">
        <f>OBRA!U761</f>
        <v>45251</v>
      </c>
      <c r="V763" s="11">
        <f>OBRA!V761</f>
        <v>45370</v>
      </c>
      <c r="W763" s="1557">
        <v>1584577.07</v>
      </c>
      <c r="X763" s="1041">
        <f>OBRA!AT761+OBRA!AU761</f>
        <v>5801953.1699999999</v>
      </c>
      <c r="Y763" s="1110" t="s">
        <v>6125</v>
      </c>
      <c r="Z763" s="146" t="str">
        <f>OBRA!X761</f>
        <v>OCTAVA CUATRO VISITAS, S.A. DE C.V.</v>
      </c>
      <c r="AA763" s="146" t="s">
        <v>5669</v>
      </c>
      <c r="AB763" s="1816" t="s">
        <v>6126</v>
      </c>
      <c r="AC763" s="1817" t="s">
        <v>6127</v>
      </c>
      <c r="AD763" s="1816" t="s">
        <v>6128</v>
      </c>
      <c r="AE763" s="1818" t="str">
        <f>OBRA!Y761</f>
        <v>ING. J. GUADALUPE IBARRA RAMIREZ</v>
      </c>
      <c r="AF763" s="19">
        <v>29</v>
      </c>
      <c r="AG763" s="2" t="s">
        <v>6124</v>
      </c>
      <c r="AH763" s="655">
        <f t="shared" si="56"/>
        <v>200067.35068965517</v>
      </c>
      <c r="AI763" s="2">
        <v>200</v>
      </c>
      <c r="AJ763" s="2">
        <v>2000</v>
      </c>
      <c r="AK763" s="1991">
        <v>1</v>
      </c>
      <c r="AL763" s="1551">
        <v>20.290935000000001</v>
      </c>
      <c r="AM763" s="1552">
        <v>103.394266</v>
      </c>
      <c r="AN763" s="563" t="s">
        <v>5803</v>
      </c>
      <c r="AO763" s="563" t="s">
        <v>5803</v>
      </c>
      <c r="AP763" s="563" t="s">
        <v>5803</v>
      </c>
      <c r="AQ763" s="507"/>
      <c r="AR763" s="507"/>
      <c r="AS763" s="512"/>
      <c r="AT763" s="1853">
        <v>0</v>
      </c>
      <c r="AU763" s="1853">
        <v>0</v>
      </c>
      <c r="AV763" s="1853">
        <v>0</v>
      </c>
      <c r="AW763" s="1853">
        <v>0</v>
      </c>
      <c r="AX763" s="1853">
        <v>0</v>
      </c>
      <c r="AY763" s="1853">
        <v>0</v>
      </c>
      <c r="AZ763" s="1853">
        <v>0</v>
      </c>
      <c r="BA763" s="1853">
        <v>0</v>
      </c>
      <c r="BB763" s="514">
        <v>0</v>
      </c>
      <c r="BC763" s="514">
        <v>0</v>
      </c>
      <c r="BD763" s="514">
        <v>0</v>
      </c>
      <c r="BE763" s="514">
        <v>0</v>
      </c>
      <c r="BF763" s="514">
        <v>0</v>
      </c>
      <c r="BG763" s="514">
        <v>0</v>
      </c>
      <c r="BH763" s="514">
        <v>0</v>
      </c>
      <c r="BI763" s="33"/>
      <c r="BJ763" s="12"/>
    </row>
    <row r="764" spans="1:62" ht="78" hidden="1" customHeight="1">
      <c r="A764" s="16">
        <f>OBRA!K762</f>
        <v>2023</v>
      </c>
      <c r="B764" s="781" t="s">
        <v>3947</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6509</v>
      </c>
      <c r="L764" s="3" t="s">
        <v>6243</v>
      </c>
      <c r="M764" s="674" t="s">
        <v>4749</v>
      </c>
      <c r="N764" s="3" t="str">
        <f>OBRA!R762</f>
        <v>HUEJOTITÁN</v>
      </c>
      <c r="O764" s="505" t="s">
        <v>6043</v>
      </c>
      <c r="P764" s="4">
        <f>OBRA!S762</f>
        <v>441962.08</v>
      </c>
      <c r="Q764" s="1045">
        <f t="shared" si="57"/>
        <v>381001.79310344829</v>
      </c>
      <c r="R764" s="1762" t="s">
        <v>67</v>
      </c>
      <c r="S764" s="67">
        <f>OBRA!T762</f>
        <v>45247</v>
      </c>
      <c r="T764" s="1156">
        <f>OBRA!W762</f>
        <v>45245</v>
      </c>
      <c r="U764" s="5">
        <f>OBRA!U762</f>
        <v>45245</v>
      </c>
      <c r="V764" s="11">
        <f>OBRA!V762</f>
        <v>45290</v>
      </c>
      <c r="W764" s="1557">
        <v>0</v>
      </c>
      <c r="X764" s="1041">
        <f>OBRA!AT762+OBRA!AU762</f>
        <v>441962.08</v>
      </c>
      <c r="Y764" s="1110" t="s">
        <v>6118</v>
      </c>
      <c r="Z764" s="146" t="str">
        <f>OBRA!X762</f>
        <v xml:space="preserve">DORIA &amp; SAMPIER CONSTRUCTORA, S.A. DE C.V. </v>
      </c>
      <c r="AA764" s="146" t="s">
        <v>5669</v>
      </c>
      <c r="AB764" s="1816" t="s">
        <v>5610</v>
      </c>
      <c r="AC764" s="1817" t="s">
        <v>4404</v>
      </c>
      <c r="AD764" s="1816" t="s">
        <v>6119</v>
      </c>
      <c r="AE764" s="1818" t="str">
        <f>OBRA!Y762</f>
        <v>ARQ. JAIME CONDE GOMEZ</v>
      </c>
      <c r="AF764" s="555">
        <v>516</v>
      </c>
      <c r="AG764" s="2" t="s">
        <v>1548</v>
      </c>
      <c r="AH764" s="655">
        <f t="shared" si="56"/>
        <v>856.51565891472876</v>
      </c>
      <c r="AI764" s="2">
        <v>1300</v>
      </c>
      <c r="AJ764" s="2">
        <v>1300</v>
      </c>
      <c r="AK764" s="1991">
        <v>1</v>
      </c>
      <c r="AL764" s="1551">
        <v>20.354331999999999</v>
      </c>
      <c r="AM764" s="1552">
        <v>103.487101</v>
      </c>
      <c r="AN764" s="563" t="s">
        <v>6129</v>
      </c>
      <c r="AO764" s="563" t="s">
        <v>6129</v>
      </c>
      <c r="AP764" s="563" t="s">
        <v>6129</v>
      </c>
      <c r="AQ764" s="507"/>
      <c r="AR764" s="507"/>
      <c r="AS764" s="512"/>
      <c r="AT764" s="1853">
        <v>0</v>
      </c>
      <c r="AU764" s="1853">
        <v>0</v>
      </c>
      <c r="AV764" s="1853">
        <v>0</v>
      </c>
      <c r="AW764" s="1853">
        <v>0</v>
      </c>
      <c r="AX764" s="1853">
        <v>0</v>
      </c>
      <c r="AY764" s="1853">
        <v>0</v>
      </c>
      <c r="AZ764" s="1853">
        <v>0</v>
      </c>
      <c r="BA764" s="1853">
        <v>0</v>
      </c>
      <c r="BB764" s="514">
        <v>0</v>
      </c>
      <c r="BC764" s="514">
        <v>0</v>
      </c>
      <c r="BD764" s="514">
        <v>0</v>
      </c>
      <c r="BE764" s="514">
        <v>0</v>
      </c>
      <c r="BF764" s="514">
        <v>0</v>
      </c>
      <c r="BG764" s="514">
        <v>0</v>
      </c>
      <c r="BH764" s="514">
        <v>0</v>
      </c>
      <c r="BI764" s="33"/>
      <c r="BJ764" s="12"/>
    </row>
    <row r="765" spans="1:62" ht="102.75" hidden="1" customHeight="1">
      <c r="A765" s="16">
        <f>OBRA!K763</f>
        <v>2023</v>
      </c>
      <c r="B765" s="781" t="s">
        <v>3947</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6510</v>
      </c>
      <c r="L765" s="3" t="s">
        <v>4750</v>
      </c>
      <c r="M765" s="674" t="s">
        <v>6091</v>
      </c>
      <c r="N765" s="3" t="str">
        <f>OBRA!R763</f>
        <v>CABECERA MUNICIPAL</v>
      </c>
      <c r="O765" s="505" t="s">
        <v>6043</v>
      </c>
      <c r="P765" s="4">
        <f>OBRA!S763</f>
        <v>2969939.23</v>
      </c>
      <c r="Q765" s="1045">
        <f t="shared" si="57"/>
        <v>2560292.4396551726</v>
      </c>
      <c r="R765" s="1762" t="s">
        <v>67</v>
      </c>
      <c r="S765" s="6">
        <f>OBRA!T763</f>
        <v>45268</v>
      </c>
      <c r="T765" s="1156" t="str">
        <f>OBRA!W763</f>
        <v>-</v>
      </c>
      <c r="U765" s="5">
        <f>OBRA!U763</f>
        <v>45271</v>
      </c>
      <c r="V765" s="11">
        <f>OBRA!V763</f>
        <v>45290</v>
      </c>
      <c r="W765" s="1557">
        <v>890981.77</v>
      </c>
      <c r="X765" s="1041">
        <f>OBRA!AT763+OBRA!AU763</f>
        <v>4350066.6500000004</v>
      </c>
      <c r="Y765" s="1110" t="s">
        <v>5880</v>
      </c>
      <c r="Z765" s="146" t="str">
        <f>OBRA!X763</f>
        <v>EDIFICACIONES Y TERRACERIAS CH, S.A. DE C.V.</v>
      </c>
      <c r="AA765" s="146" t="s">
        <v>5669</v>
      </c>
      <c r="AB765" s="1816" t="s">
        <v>5401</v>
      </c>
      <c r="AC765" s="1817" t="s">
        <v>5402</v>
      </c>
      <c r="AD765" s="1816" t="s">
        <v>6069</v>
      </c>
      <c r="AE765" s="1818" t="str">
        <f>OBRA!Y763</f>
        <v>C. DANIEL RODRIGUEZ VALENZUELA</v>
      </c>
      <c r="AF765" s="555">
        <v>72</v>
      </c>
      <c r="AG765" s="2" t="s">
        <v>1548</v>
      </c>
      <c r="AH765" s="655">
        <f t="shared" si="56"/>
        <v>60417.592361111114</v>
      </c>
      <c r="AI765" s="2">
        <v>10143</v>
      </c>
      <c r="AJ765" s="2">
        <v>10143</v>
      </c>
      <c r="AK765" s="1991">
        <v>1</v>
      </c>
      <c r="AL765" s="1551">
        <v>20.283450999999999</v>
      </c>
      <c r="AM765" s="1552">
        <v>103.417547</v>
      </c>
      <c r="AN765" s="563" t="s">
        <v>5881</v>
      </c>
      <c r="AO765" s="563" t="s">
        <v>5881</v>
      </c>
      <c r="AP765" s="563" t="s">
        <v>5881</v>
      </c>
      <c r="AQ765" s="502" t="s">
        <v>5881</v>
      </c>
      <c r="AR765" s="502"/>
      <c r="AS765" s="697" t="s">
        <v>5881</v>
      </c>
      <c r="AT765" s="1853">
        <v>0</v>
      </c>
      <c r="AU765" s="1853">
        <v>0</v>
      </c>
      <c r="AV765" s="1853">
        <v>0</v>
      </c>
      <c r="AW765" s="1853">
        <v>0</v>
      </c>
      <c r="AX765" s="1853">
        <v>0</v>
      </c>
      <c r="AY765" s="1853">
        <v>0</v>
      </c>
      <c r="AZ765" s="1853">
        <v>0</v>
      </c>
      <c r="BA765" s="1853">
        <v>0</v>
      </c>
      <c r="BB765" s="514">
        <v>0</v>
      </c>
      <c r="BC765" s="514">
        <v>0</v>
      </c>
      <c r="BD765" s="514">
        <v>0</v>
      </c>
      <c r="BE765" s="514">
        <v>0</v>
      </c>
      <c r="BF765" s="514">
        <v>0</v>
      </c>
      <c r="BG765" s="514">
        <v>0</v>
      </c>
      <c r="BH765" s="514">
        <v>0</v>
      </c>
      <c r="BI765" s="33" t="s">
        <v>550</v>
      </c>
      <c r="BJ765" s="12"/>
    </row>
    <row r="766" spans="1:62" ht="63.75" hidden="1" customHeight="1">
      <c r="A766" s="16">
        <f>OBRA!K764</f>
        <v>2023</v>
      </c>
      <c r="B766" s="781" t="s">
        <v>3947</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544"/>
      <c r="L766" s="3" t="s">
        <v>5345</v>
      </c>
      <c r="M766" s="674" t="s">
        <v>5345</v>
      </c>
      <c r="N766" s="3" t="str">
        <f>OBRA!R764</f>
        <v>CHANTEPEC</v>
      </c>
      <c r="O766" s="505" t="s">
        <v>6043</v>
      </c>
      <c r="P766" s="4">
        <f>OBRA!S764</f>
        <v>1515153.08</v>
      </c>
      <c r="Q766" s="1045">
        <f t="shared" si="57"/>
        <v>1306166.4482758623</v>
      </c>
      <c r="R766" s="1762" t="s">
        <v>67</v>
      </c>
      <c r="S766" s="67">
        <f>OBRA!T764</f>
        <v>45258</v>
      </c>
      <c r="T766" s="1156">
        <f>OBRA!W764</f>
        <v>45257</v>
      </c>
      <c r="U766" s="5">
        <f>OBRA!U764</f>
        <v>45264</v>
      </c>
      <c r="V766" s="11">
        <f>OBRA!V764</f>
        <v>45374</v>
      </c>
      <c r="W766" s="1557">
        <v>454545.91999999998</v>
      </c>
      <c r="X766" s="1041">
        <f>OBRA!AT764+OBRA!AU764</f>
        <v>1851371.85</v>
      </c>
      <c r="Y766" s="1110" t="s">
        <v>6515</v>
      </c>
      <c r="Z766" s="146" t="str">
        <f>OBRA!X764</f>
        <v xml:space="preserve">DESARROLLADORA FARAR, S.A. DE C.V. </v>
      </c>
      <c r="AA766" s="146" t="s">
        <v>5669</v>
      </c>
      <c r="AB766" s="1816" t="s">
        <v>6130</v>
      </c>
      <c r="AC766" s="1817" t="s">
        <v>6131</v>
      </c>
      <c r="AD766" s="1816" t="s">
        <v>6132</v>
      </c>
      <c r="AE766" s="1818" t="str">
        <f>OBRA!Y764</f>
        <v>ING. J. GUADALUPE IBARRA RAMIREZ</v>
      </c>
      <c r="AF766" s="555">
        <f>1100+2343+783+510+800</f>
        <v>5536</v>
      </c>
      <c r="AG766" s="2" t="s">
        <v>1548</v>
      </c>
      <c r="AH766" s="655">
        <f t="shared" si="56"/>
        <v>334.4241058526012</v>
      </c>
      <c r="AI766" s="2">
        <v>3600</v>
      </c>
      <c r="AJ766" s="2">
        <v>3600</v>
      </c>
      <c r="AK766" s="1991">
        <v>1</v>
      </c>
      <c r="AL766" s="1551">
        <v>20.293021</v>
      </c>
      <c r="AM766" s="1552">
        <v>103.389804</v>
      </c>
      <c r="AN766" s="563" t="s">
        <v>6133</v>
      </c>
      <c r="AO766" s="563" t="s">
        <v>6133</v>
      </c>
      <c r="AP766" s="563" t="s">
        <v>6133</v>
      </c>
      <c r="AQ766" s="507"/>
      <c r="AR766" s="507"/>
      <c r="AS766" s="512"/>
      <c r="AT766" s="1853">
        <v>0</v>
      </c>
      <c r="AU766" s="1853">
        <v>0</v>
      </c>
      <c r="AV766" s="1853">
        <v>0</v>
      </c>
      <c r="AW766" s="1853">
        <v>0</v>
      </c>
      <c r="AX766" s="1853">
        <v>0</v>
      </c>
      <c r="AY766" s="1853">
        <v>0</v>
      </c>
      <c r="AZ766" s="1853">
        <v>0</v>
      </c>
      <c r="BA766" s="1853">
        <v>0</v>
      </c>
      <c r="BB766" s="514">
        <v>0</v>
      </c>
      <c r="BC766" s="514">
        <v>0</v>
      </c>
      <c r="BD766" s="514">
        <v>0</v>
      </c>
      <c r="BE766" s="514">
        <v>0</v>
      </c>
      <c r="BF766" s="514">
        <v>0</v>
      </c>
      <c r="BG766" s="514">
        <v>0</v>
      </c>
      <c r="BH766" s="514">
        <v>0</v>
      </c>
      <c r="BI766" s="33"/>
      <c r="BJ766" s="12"/>
    </row>
    <row r="767" spans="1:62" ht="65.25" hidden="1" customHeight="1">
      <c r="A767" s="16">
        <f>OBRA!K765</f>
        <v>2023</v>
      </c>
      <c r="B767" s="781" t="s">
        <v>3947</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544"/>
      <c r="L767" s="3" t="s">
        <v>5345</v>
      </c>
      <c r="M767" s="674" t="s">
        <v>5345</v>
      </c>
      <c r="N767" s="3" t="str">
        <f>OBRA!R765</f>
        <v>CHANTEPEC</v>
      </c>
      <c r="O767" s="505" t="s">
        <v>6043</v>
      </c>
      <c r="P767" s="4">
        <f>OBRA!S765</f>
        <v>1777367.51</v>
      </c>
      <c r="Q767" s="1045">
        <f t="shared" si="57"/>
        <v>1532213.3706896552</v>
      </c>
      <c r="R767" s="1762" t="s">
        <v>67</v>
      </c>
      <c r="S767" s="67">
        <f>OBRA!T765</f>
        <v>45258</v>
      </c>
      <c r="T767" s="1156">
        <f>OBRA!W765</f>
        <v>45257</v>
      </c>
      <c r="U767" s="5">
        <f>OBRA!U765</f>
        <v>45264</v>
      </c>
      <c r="V767" s="11">
        <f>OBRA!V765</f>
        <v>45374</v>
      </c>
      <c r="W767" s="1557">
        <v>533210.25</v>
      </c>
      <c r="X767" s="1041">
        <f>OBRA!AT765+OBRA!AU765</f>
        <v>2046862.31</v>
      </c>
      <c r="Y767" s="1110" t="s">
        <v>6134</v>
      </c>
      <c r="Z767" s="146" t="str">
        <f>OBRA!X765</f>
        <v>ACROX CONSTRUCCIONES, S.A. DE C.V.</v>
      </c>
      <c r="AA767" s="146" t="s">
        <v>5669</v>
      </c>
      <c r="AB767" s="1816" t="s">
        <v>6135</v>
      </c>
      <c r="AC767" s="1817" t="s">
        <v>6136</v>
      </c>
      <c r="AD767" s="1816" t="s">
        <v>6137</v>
      </c>
      <c r="AE767" s="1818" t="str">
        <f>OBRA!Y765</f>
        <v>ING. J. GUADALUPE IBARRA RAMIREZ</v>
      </c>
      <c r="AF767" s="555">
        <v>297</v>
      </c>
      <c r="AG767" s="2" t="s">
        <v>1548</v>
      </c>
      <c r="AH767" s="655">
        <f t="shared" si="56"/>
        <v>6891.7922895622896</v>
      </c>
      <c r="AI767" s="2">
        <v>3600</v>
      </c>
      <c r="AJ767" s="2">
        <v>3600</v>
      </c>
      <c r="AK767" s="1991">
        <v>1</v>
      </c>
      <c r="AL767" s="1551">
        <v>20.293021</v>
      </c>
      <c r="AM767" s="1552">
        <v>103.389804</v>
      </c>
      <c r="AN767" s="563" t="s">
        <v>5903</v>
      </c>
      <c r="AO767" s="563" t="s">
        <v>5903</v>
      </c>
      <c r="AP767" s="563" t="s">
        <v>5903</v>
      </c>
      <c r="AQ767" s="507"/>
      <c r="AR767" s="507"/>
      <c r="AS767" s="512"/>
      <c r="AT767" s="1853">
        <v>0</v>
      </c>
      <c r="AU767" s="1853">
        <v>0</v>
      </c>
      <c r="AV767" s="1853">
        <v>0</v>
      </c>
      <c r="AW767" s="1853">
        <v>0</v>
      </c>
      <c r="AX767" s="1853">
        <v>0</v>
      </c>
      <c r="AY767" s="1853">
        <v>0</v>
      </c>
      <c r="AZ767" s="1853">
        <v>0</v>
      </c>
      <c r="BA767" s="1853">
        <v>0</v>
      </c>
      <c r="BB767" s="514">
        <v>0</v>
      </c>
      <c r="BC767" s="514">
        <v>0</v>
      </c>
      <c r="BD767" s="514">
        <v>0</v>
      </c>
      <c r="BE767" s="514">
        <v>0</v>
      </c>
      <c r="BF767" s="514">
        <v>0</v>
      </c>
      <c r="BG767" s="514">
        <v>0</v>
      </c>
      <c r="BH767" s="514">
        <v>0</v>
      </c>
      <c r="BI767" s="33"/>
      <c r="BJ767" s="12"/>
    </row>
    <row r="768" spans="1:62" ht="97.5" hidden="1" customHeight="1">
      <c r="A768" s="16">
        <f>OBRA!K766</f>
        <v>2023</v>
      </c>
      <c r="B768" s="781" t="s">
        <v>3947</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6518</v>
      </c>
      <c r="L768" s="3" t="s">
        <v>4750</v>
      </c>
      <c r="M768" s="674" t="s">
        <v>6092</v>
      </c>
      <c r="N768" s="3" t="str">
        <f>OBRA!R766</f>
        <v>CABECERA MUNICIPAL</v>
      </c>
      <c r="O768" s="505" t="s">
        <v>6043</v>
      </c>
      <c r="P768" s="4">
        <f>OBRA!S766</f>
        <v>521271.1</v>
      </c>
      <c r="Q768" s="1045">
        <f t="shared" si="57"/>
        <v>449371.63793103449</v>
      </c>
      <c r="R768" s="1762" t="s">
        <v>67</v>
      </c>
      <c r="S768" s="6">
        <f>OBRA!T766</f>
        <v>45257</v>
      </c>
      <c r="T768" s="1156">
        <f>OBRA!W766</f>
        <v>45257</v>
      </c>
      <c r="U768" s="5">
        <f>OBRA!U766</f>
        <v>45258</v>
      </c>
      <c r="V768" s="11">
        <f>OBRA!V766</f>
        <v>45276</v>
      </c>
      <c r="W768" s="1557">
        <v>0</v>
      </c>
      <c r="X768" s="1041">
        <f>OBRA!AT766+OBRA!AU766</f>
        <v>1160164.23</v>
      </c>
      <c r="Y768" s="1110" t="s">
        <v>6138</v>
      </c>
      <c r="Z768" s="146" t="str">
        <f>OBRA!X766</f>
        <v>TERRACERÍAS Y PAVIMENTOS DE LA RIBERA, S.A. DE C.V.</v>
      </c>
      <c r="AA768" s="146" t="s">
        <v>5669</v>
      </c>
      <c r="AB768" s="1828" t="s">
        <v>4447</v>
      </c>
      <c r="AC768" s="1829" t="s">
        <v>3473</v>
      </c>
      <c r="AD768" s="1828" t="s">
        <v>6073</v>
      </c>
      <c r="AE768" s="1818" t="str">
        <f>OBRA!Y766</f>
        <v>C. DANIEL RODRIGUEZ VALENZUELA</v>
      </c>
      <c r="AF768" s="555">
        <f>30+120</f>
        <v>150</v>
      </c>
      <c r="AG768" s="2" t="s">
        <v>1450</v>
      </c>
      <c r="AH768" s="655">
        <f>X768/AF768</f>
        <v>7734.4282000000003</v>
      </c>
      <c r="AI768" s="2">
        <v>10143</v>
      </c>
      <c r="AJ768" s="2">
        <v>10143</v>
      </c>
      <c r="AK768" s="1991">
        <v>1</v>
      </c>
      <c r="AL768" s="1621">
        <v>20.283450999999999</v>
      </c>
      <c r="AM768" s="1622">
        <v>103.417547</v>
      </c>
      <c r="AN768" s="563" t="s">
        <v>5904</v>
      </c>
      <c r="AO768" s="563" t="s">
        <v>5904</v>
      </c>
      <c r="AP768" s="563" t="s">
        <v>5904</v>
      </c>
      <c r="AQ768" s="502" t="s">
        <v>5904</v>
      </c>
      <c r="AR768" s="502"/>
      <c r="AS768" s="697" t="s">
        <v>5904</v>
      </c>
      <c r="AT768" s="1853">
        <v>0</v>
      </c>
      <c r="AU768" s="1853">
        <v>0</v>
      </c>
      <c r="AV768" s="1853">
        <v>0</v>
      </c>
      <c r="AW768" s="1853">
        <v>0</v>
      </c>
      <c r="AX768" s="1853">
        <v>0</v>
      </c>
      <c r="AY768" s="1853">
        <v>0</v>
      </c>
      <c r="AZ768" s="1853">
        <v>0</v>
      </c>
      <c r="BA768" s="1853">
        <v>0</v>
      </c>
      <c r="BB768" s="514">
        <v>0</v>
      </c>
      <c r="BC768" s="514">
        <v>0</v>
      </c>
      <c r="BD768" s="514">
        <v>0</v>
      </c>
      <c r="BE768" s="514">
        <v>0</v>
      </c>
      <c r="BF768" s="514">
        <v>0</v>
      </c>
      <c r="BG768" s="514">
        <v>0</v>
      </c>
      <c r="BH768" s="514">
        <v>0</v>
      </c>
      <c r="BI768" s="33" t="s">
        <v>550</v>
      </c>
      <c r="BJ768" s="12"/>
    </row>
    <row r="769" spans="1:62" ht="82.5" hidden="1" customHeight="1">
      <c r="A769" s="16">
        <f>OBRA!K767</f>
        <v>2023</v>
      </c>
      <c r="B769" s="781" t="s">
        <v>3947</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544"/>
      <c r="L769" s="3" t="s">
        <v>4748</v>
      </c>
      <c r="M769" s="674" t="s">
        <v>6093</v>
      </c>
      <c r="N769" s="3" t="str">
        <f>OBRA!R767</f>
        <v>SAN JUAN COSALÁ</v>
      </c>
      <c r="O769" s="505" t="s">
        <v>6043</v>
      </c>
      <c r="P769" s="4">
        <f>OBRA!S767</f>
        <v>810268.98</v>
      </c>
      <c r="Q769" s="1045">
        <f t="shared" si="57"/>
        <v>698507.74137931038</v>
      </c>
      <c r="R769" s="1762" t="s">
        <v>67</v>
      </c>
      <c r="S769" s="67">
        <f>OBRA!T767</f>
        <v>45269</v>
      </c>
      <c r="T769" s="1156">
        <f>OBRA!W767</f>
        <v>45268</v>
      </c>
      <c r="U769" s="5">
        <f>OBRA!U767</f>
        <v>45271</v>
      </c>
      <c r="V769" s="11">
        <f>OBRA!V767</f>
        <v>45290</v>
      </c>
      <c r="W769" s="1557">
        <v>0</v>
      </c>
      <c r="X769" s="1041">
        <f>OBRA!AT767+OBRA!AU767</f>
        <v>1160164.23</v>
      </c>
      <c r="Y769" s="1110" t="s">
        <v>6139</v>
      </c>
      <c r="Z769" s="146" t="str">
        <f>OBRA!X767</f>
        <v>ESTRUCTURAS PLANEADAS DE OCCIDENTE, S.A. DE C.V.</v>
      </c>
      <c r="AA769" s="146" t="s">
        <v>5669</v>
      </c>
      <c r="AB769" s="148" t="s">
        <v>4480</v>
      </c>
      <c r="AC769" s="146" t="s">
        <v>4481</v>
      </c>
      <c r="AD769" s="148" t="s">
        <v>6048</v>
      </c>
      <c r="AE769" s="1818" t="str">
        <f>OBRA!Y767</f>
        <v>C. DANIEL RODRIGUEZ VALENZUELA</v>
      </c>
      <c r="AF769" s="555">
        <v>527.39</v>
      </c>
      <c r="AG769" s="2" t="s">
        <v>1450</v>
      </c>
      <c r="AH769" s="655">
        <f>X769/AF769</f>
        <v>2199.8221998900244</v>
      </c>
      <c r="AI769" s="2">
        <v>500</v>
      </c>
      <c r="AJ769" s="2">
        <v>4000</v>
      </c>
      <c r="AK769" s="1991">
        <v>1</v>
      </c>
      <c r="AL769" s="1551">
        <v>20.290797000000001</v>
      </c>
      <c r="AM769" s="1552">
        <v>103.348333</v>
      </c>
      <c r="AN769" s="563" t="s">
        <v>5905</v>
      </c>
      <c r="AO769" s="565"/>
      <c r="AP769" s="563" t="s">
        <v>5905</v>
      </c>
      <c r="AQ769" s="502" t="s">
        <v>5905</v>
      </c>
      <c r="AR769" s="502"/>
      <c r="AS769" s="697" t="s">
        <v>5905</v>
      </c>
      <c r="AT769" s="1853">
        <v>0</v>
      </c>
      <c r="AU769" s="1853">
        <v>0</v>
      </c>
      <c r="AV769" s="1853">
        <v>0</v>
      </c>
      <c r="AW769" s="1853">
        <v>0</v>
      </c>
      <c r="AX769" s="1853">
        <v>0</v>
      </c>
      <c r="AY769" s="1853">
        <v>0</v>
      </c>
      <c r="AZ769" s="1853">
        <v>0</v>
      </c>
      <c r="BA769" s="1853">
        <v>0</v>
      </c>
      <c r="BB769" s="514">
        <v>0</v>
      </c>
      <c r="BC769" s="514">
        <v>0</v>
      </c>
      <c r="BD769" s="514">
        <v>0</v>
      </c>
      <c r="BE769" s="514">
        <v>0</v>
      </c>
      <c r="BF769" s="514">
        <v>0</v>
      </c>
      <c r="BG769" s="514">
        <v>0</v>
      </c>
      <c r="BH769" s="514">
        <v>0</v>
      </c>
      <c r="BI769" s="33"/>
      <c r="BJ769" s="12"/>
    </row>
    <row r="770" spans="1:62" s="104" customFormat="1" ht="15" hidden="1" customHeight="1">
      <c r="A770" s="82">
        <f>OBRA!K768</f>
        <v>2023</v>
      </c>
      <c r="B770" s="782" t="s">
        <v>3947</v>
      </c>
      <c r="C770" s="782">
        <f>OBRA!L768</f>
        <v>235031</v>
      </c>
      <c r="D770" s="1826" t="s">
        <v>2313</v>
      </c>
      <c r="E770" s="85">
        <f>OBRA!N768</f>
        <v>0</v>
      </c>
      <c r="F770" s="83"/>
      <c r="G770" s="1827"/>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7"/>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X770/AF770</f>
        <v>#DIV/0!</v>
      </c>
      <c r="AI770" s="85"/>
      <c r="AJ770" s="515"/>
      <c r="AK770" s="515"/>
      <c r="AL770" s="1544"/>
      <c r="AM770" s="1545"/>
      <c r="AN770" s="821"/>
      <c r="AO770" s="821"/>
      <c r="AP770" s="821"/>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hidden="1" customHeight="1">
      <c r="A771" s="16">
        <f>OBRA!K769</f>
        <v>2023</v>
      </c>
      <c r="B771" s="781" t="s">
        <v>3947</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6521</v>
      </c>
      <c r="L771" s="3" t="s">
        <v>5345</v>
      </c>
      <c r="M771" s="674" t="s">
        <v>4002</v>
      </c>
      <c r="N771" s="3" t="str">
        <f>OBRA!R769</f>
        <v>CABECERA MUNICIPAL</v>
      </c>
      <c r="O771" s="505" t="s">
        <v>6043</v>
      </c>
      <c r="P771" s="4">
        <f>OBRA!S769</f>
        <v>1060774.83</v>
      </c>
      <c r="Q771" s="1045">
        <f t="shared" si="57"/>
        <v>914461.06034482771</v>
      </c>
      <c r="R771" s="1762" t="s">
        <v>67</v>
      </c>
      <c r="S771" s="67">
        <f>OBRA!T769</f>
        <v>45275</v>
      </c>
      <c r="T771" s="1156">
        <f>OBRA!W769</f>
        <v>45274</v>
      </c>
      <c r="U771" s="5">
        <f>OBRA!U769</f>
        <v>45278</v>
      </c>
      <c r="V771" s="11">
        <f>OBRA!V769</f>
        <v>45322</v>
      </c>
      <c r="W771" s="1557">
        <v>0</v>
      </c>
      <c r="X771" s="1041">
        <f>OBRA!AT769+OBRA!AU769</f>
        <v>1081145.3400000001</v>
      </c>
      <c r="Y771" s="1110" t="s">
        <v>6140</v>
      </c>
      <c r="Z771" s="146" t="str">
        <f>OBRA!X769</f>
        <v>URBANIZADORA Y PAVIMENTADORA MONLE, S.A. DE C.V.</v>
      </c>
      <c r="AA771" s="146" t="s">
        <v>5669</v>
      </c>
      <c r="AB771" s="1816" t="s">
        <v>4881</v>
      </c>
      <c r="AC771" s="1817" t="s">
        <v>4882</v>
      </c>
      <c r="AD771" s="1816" t="s">
        <v>5906</v>
      </c>
      <c r="AE771" s="1818" t="str">
        <f>OBRA!Y769</f>
        <v>C. DANIEL RODRIGUEZ VALENZUELA</v>
      </c>
      <c r="AF771" s="19">
        <v>4</v>
      </c>
      <c r="AG771" s="593" t="s">
        <v>6141</v>
      </c>
      <c r="AH771" s="655">
        <f>X771/AF771</f>
        <v>270286.33500000002</v>
      </c>
      <c r="AI771" s="2">
        <v>5500</v>
      </c>
      <c r="AJ771" s="2">
        <v>5500</v>
      </c>
      <c r="AK771" s="1991">
        <v>1</v>
      </c>
      <c r="AL771" s="1551">
        <v>20.280017999999998</v>
      </c>
      <c r="AM771" s="1552">
        <v>103.432284</v>
      </c>
      <c r="AN771" s="563" t="s">
        <v>6142</v>
      </c>
      <c r="AO771" s="563" t="s">
        <v>6142</v>
      </c>
      <c r="AP771" s="563" t="s">
        <v>6142</v>
      </c>
      <c r="AQ771" s="502" t="s">
        <v>6142</v>
      </c>
      <c r="AR771" s="502"/>
      <c r="AS771" s="697" t="s">
        <v>6142</v>
      </c>
      <c r="AT771" s="1853">
        <v>0</v>
      </c>
      <c r="AU771" s="1853">
        <v>0</v>
      </c>
      <c r="AV771" s="1853">
        <v>0</v>
      </c>
      <c r="AW771" s="1853">
        <v>0</v>
      </c>
      <c r="AX771" s="1853">
        <v>0</v>
      </c>
      <c r="AY771" s="1853">
        <v>0</v>
      </c>
      <c r="AZ771" s="1853">
        <v>0</v>
      </c>
      <c r="BA771" s="1853">
        <v>0</v>
      </c>
      <c r="BB771" s="514">
        <v>0</v>
      </c>
      <c r="BC771" s="514">
        <v>0</v>
      </c>
      <c r="BD771" s="514">
        <v>0</v>
      </c>
      <c r="BE771" s="514">
        <v>0</v>
      </c>
      <c r="BF771" s="514">
        <v>0</v>
      </c>
      <c r="BG771" s="514">
        <v>0</v>
      </c>
      <c r="BH771" s="514">
        <v>0</v>
      </c>
      <c r="BI771" s="33" t="s">
        <v>550</v>
      </c>
      <c r="BJ771" s="12"/>
    </row>
    <row r="772" spans="1:62" ht="51.75" hidden="1" customHeight="1">
      <c r="A772" s="16">
        <f>OBRA!K770</f>
        <v>2024</v>
      </c>
      <c r="B772" s="781" t="s">
        <v>3947</v>
      </c>
      <c r="C772" s="781">
        <f>OBRA!L770</f>
        <v>241001</v>
      </c>
      <c r="D772" s="24" t="s">
        <v>2313</v>
      </c>
      <c r="E772" s="2" t="str">
        <f>OBRA!N770</f>
        <v>RAMO 23</v>
      </c>
      <c r="F772" s="512"/>
      <c r="G772" s="1718"/>
      <c r="H772" s="12" t="str">
        <f>OBRA!O770</f>
        <v>-</v>
      </c>
      <c r="I772" s="2" t="str">
        <f>OBRA!P770</f>
        <v>CONVENIO</v>
      </c>
      <c r="J772" s="3" t="str">
        <f>OBRA!Q770</f>
        <v>PAVIMENTACIÓN EN EL MUNICIPIO DE JOCOTEPEC</v>
      </c>
      <c r="K772" s="544"/>
      <c r="L772" s="3" t="s">
        <v>6259</v>
      </c>
      <c r="M772" s="544"/>
      <c r="N772" s="3" t="str">
        <f>OBRA!R770</f>
        <v>CABECERA MUNICIPAL</v>
      </c>
      <c r="O772" s="505" t="s">
        <v>6771</v>
      </c>
      <c r="P772" s="4">
        <f>OBRA!S770</f>
        <v>0</v>
      </c>
      <c r="Q772" s="1045">
        <f t="shared" si="57"/>
        <v>0</v>
      </c>
      <c r="R772" s="1762"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X772/AF772</f>
        <v>0</v>
      </c>
      <c r="AI772" s="511"/>
      <c r="AJ772" s="507"/>
      <c r="AK772" s="507"/>
      <c r="AL772" s="626"/>
      <c r="AM772" s="1546"/>
      <c r="AN772" s="565"/>
      <c r="AO772" s="565"/>
      <c r="AP772" s="565"/>
      <c r="AQ772" s="507"/>
      <c r="AR772" s="507"/>
      <c r="AS772" s="512"/>
      <c r="AT772" s="507"/>
      <c r="AU772" s="507"/>
      <c r="AV772" s="507"/>
      <c r="AW772" s="507"/>
      <c r="AX772" s="507"/>
      <c r="AY772" s="507"/>
      <c r="AZ772" s="507"/>
      <c r="BA772" s="507"/>
      <c r="BB772" s="507"/>
      <c r="BC772" s="507"/>
      <c r="BD772" s="507"/>
      <c r="BE772" s="507"/>
      <c r="BF772" s="507"/>
      <c r="BG772" s="507"/>
      <c r="BH772" s="507"/>
      <c r="BI772" s="33"/>
      <c r="BJ772" s="12"/>
    </row>
    <row r="773" spans="1:62" ht="96.75" hidden="1" customHeight="1">
      <c r="A773" s="16">
        <f>OBRA!K771</f>
        <v>2024</v>
      </c>
      <c r="B773" s="781" t="s">
        <v>3947</v>
      </c>
      <c r="C773" s="781">
        <f>OBRA!L771</f>
        <v>242001</v>
      </c>
      <c r="D773" s="24" t="s">
        <v>2313</v>
      </c>
      <c r="E773" s="2" t="str">
        <f>OBRA!N771</f>
        <v>CUENTA CORRIENTE</v>
      </c>
      <c r="F773" s="512"/>
      <c r="G773" s="156" t="s">
        <v>2864</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4754</v>
      </c>
      <c r="M773" s="173" t="s">
        <v>6716</v>
      </c>
      <c r="N773" s="3" t="str">
        <f>OBRA!R771</f>
        <v>CABECERA MUNICIPAL</v>
      </c>
      <c r="O773" s="505" t="s">
        <v>6772</v>
      </c>
      <c r="P773" s="4">
        <f>OBRA!S771</f>
        <v>9222</v>
      </c>
      <c r="Q773" s="1045">
        <f t="shared" si="57"/>
        <v>7950.0000000000009</v>
      </c>
      <c r="R773" s="1045" t="s">
        <v>67</v>
      </c>
      <c r="S773" s="6">
        <f>OBRA!T771</f>
        <v>45293</v>
      </c>
      <c r="T773" s="1156">
        <f>OBRA!W771</f>
        <v>0</v>
      </c>
      <c r="U773" s="5">
        <f>OBRA!U771</f>
        <v>45294</v>
      </c>
      <c r="V773" s="11">
        <f>OBRA!V771</f>
        <v>45295</v>
      </c>
      <c r="W773" s="1557">
        <v>0</v>
      </c>
      <c r="X773" s="1119">
        <f>OBRA!AT771+OBRA!AU771</f>
        <v>0</v>
      </c>
      <c r="Y773" s="1040" t="s">
        <v>6790</v>
      </c>
      <c r="Z773" s="146" t="str">
        <f>OBRA!X771</f>
        <v>SOLUCIONES INTEGRALES A POZOS, S.A. DE C.V.</v>
      </c>
      <c r="AA773" s="146" t="s">
        <v>5669</v>
      </c>
      <c r="AB773" s="148" t="s">
        <v>6750</v>
      </c>
      <c r="AC773" s="146" t="s">
        <v>6751</v>
      </c>
      <c r="AD773" s="148" t="s">
        <v>6752</v>
      </c>
      <c r="AE773" s="1818" t="str">
        <f>OBRA!Y771</f>
        <v>C. IMELDA KARINA PÉREZ GONZÁLEZ</v>
      </c>
      <c r="AF773" s="19">
        <v>1</v>
      </c>
      <c r="AG773" s="2" t="s">
        <v>1573</v>
      </c>
      <c r="AH773" s="184">
        <f t="shared" ref="AH773:AH816" si="58">P773/AF773</f>
        <v>9222</v>
      </c>
      <c r="AI773" s="511"/>
      <c r="AJ773" s="511"/>
      <c r="AK773" s="1991">
        <v>1</v>
      </c>
      <c r="AL773" s="626"/>
      <c r="AM773" s="1546"/>
      <c r="AN773" s="565"/>
      <c r="AO773" s="565"/>
      <c r="AP773" s="565"/>
      <c r="AQ773" s="507"/>
      <c r="AR773" s="507"/>
      <c r="AS773" s="512"/>
      <c r="AT773" s="507"/>
      <c r="AU773" s="507"/>
      <c r="AV773" s="507"/>
      <c r="AW773" s="507"/>
      <c r="AX773" s="507"/>
      <c r="AY773" s="507"/>
      <c r="AZ773" s="507"/>
      <c r="BA773" s="507"/>
      <c r="BB773" s="507"/>
      <c r="BC773" s="507"/>
      <c r="BD773" s="507"/>
      <c r="BE773" s="507"/>
      <c r="BF773" s="507"/>
      <c r="BG773" s="507"/>
      <c r="BH773" s="507"/>
      <c r="BI773" s="33"/>
      <c r="BJ773" s="12"/>
    </row>
    <row r="774" spans="1:62" ht="123.75" hidden="1" customHeight="1">
      <c r="A774" s="16">
        <f>OBRA!K772</f>
        <v>2024</v>
      </c>
      <c r="B774" s="781" t="s">
        <v>3947</v>
      </c>
      <c r="C774" s="781">
        <f>OBRA!L772</f>
        <v>242002</v>
      </c>
      <c r="D774" s="24" t="s">
        <v>2313</v>
      </c>
      <c r="E774" s="2" t="str">
        <f>OBRA!N772</f>
        <v>CUENTA CORRIENTE</v>
      </c>
      <c r="F774" s="512"/>
      <c r="G774" s="156" t="s">
        <v>2864</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4754</v>
      </c>
      <c r="M774" s="173" t="s">
        <v>6717</v>
      </c>
      <c r="N774" s="3" t="str">
        <f>OBRA!R772</f>
        <v>SAN PEDRO TESISTÁN</v>
      </c>
      <c r="O774" s="505" t="s">
        <v>6772</v>
      </c>
      <c r="P774" s="4">
        <f>OBRA!S772</f>
        <v>23200</v>
      </c>
      <c r="Q774" s="1045">
        <f t="shared" si="57"/>
        <v>20000</v>
      </c>
      <c r="R774" s="1045" t="s">
        <v>67</v>
      </c>
      <c r="S774" s="6">
        <f>OBRA!T772</f>
        <v>45293</v>
      </c>
      <c r="T774" s="1156">
        <f>OBRA!W772</f>
        <v>0</v>
      </c>
      <c r="U774" s="5">
        <f>OBRA!U772</f>
        <v>45293</v>
      </c>
      <c r="V774" s="11">
        <f>OBRA!V772</f>
        <v>45294</v>
      </c>
      <c r="W774" s="1557">
        <v>0</v>
      </c>
      <c r="X774" s="1119">
        <f>OBRA!AT772+OBRA!AU772</f>
        <v>0</v>
      </c>
      <c r="Y774" s="1040" t="s">
        <v>6790</v>
      </c>
      <c r="Z774" s="146" t="str">
        <f>OBRA!X772</f>
        <v xml:space="preserve">CICLOS GIP SC </v>
      </c>
      <c r="AA774" s="146" t="s">
        <v>5669</v>
      </c>
      <c r="AB774" s="1816" t="s">
        <v>4881</v>
      </c>
      <c r="AC774" s="1817" t="s">
        <v>4882</v>
      </c>
      <c r="AD774" s="1816" t="s">
        <v>4883</v>
      </c>
      <c r="AE774" s="1818" t="str">
        <f>OBRA!Y772</f>
        <v>C. IMELDA KARINA PÉREZ GONZÁLEZ</v>
      </c>
      <c r="AF774" s="19">
        <v>1</v>
      </c>
      <c r="AG774" s="2" t="s">
        <v>6780</v>
      </c>
      <c r="AH774" s="184">
        <f t="shared" si="58"/>
        <v>23200</v>
      </c>
      <c r="AI774" s="511"/>
      <c r="AJ774" s="511"/>
      <c r="AK774" s="1991">
        <v>1</v>
      </c>
      <c r="AL774" s="626"/>
      <c r="AM774" s="1546"/>
      <c r="AN774" s="565"/>
      <c r="AO774" s="565"/>
      <c r="AP774" s="565"/>
      <c r="AQ774" s="507"/>
      <c r="AR774" s="507"/>
      <c r="AS774" s="512"/>
      <c r="AT774" s="507"/>
      <c r="AU774" s="507"/>
      <c r="AV774" s="507"/>
      <c r="AW774" s="507"/>
      <c r="AX774" s="507"/>
      <c r="AY774" s="507"/>
      <c r="AZ774" s="507"/>
      <c r="BA774" s="507"/>
      <c r="BB774" s="507"/>
      <c r="BC774" s="507"/>
      <c r="BD774" s="507"/>
      <c r="BE774" s="507"/>
      <c r="BF774" s="507"/>
      <c r="BG774" s="507"/>
      <c r="BH774" s="507"/>
      <c r="BI774" s="33"/>
      <c r="BJ774" s="12"/>
    </row>
    <row r="775" spans="1:62" ht="83.25" hidden="1" customHeight="1">
      <c r="A775" s="16">
        <f>OBRA!K773</f>
        <v>2024</v>
      </c>
      <c r="B775" s="781" t="s">
        <v>3947</v>
      </c>
      <c r="C775" s="781">
        <f>OBRA!L773</f>
        <v>242003</v>
      </c>
      <c r="D775" s="24" t="s">
        <v>2313</v>
      </c>
      <c r="E775" s="2" t="str">
        <f>OBRA!N773</f>
        <v>CUENTA CORRIENTE</v>
      </c>
      <c r="F775" s="512"/>
      <c r="G775" s="156" t="s">
        <v>2864</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6712</v>
      </c>
      <c r="M775" s="173" t="s">
        <v>5421</v>
      </c>
      <c r="N775" s="3" t="str">
        <f>OBRA!R773</f>
        <v>CHANTEPEC</v>
      </c>
      <c r="O775" s="505" t="s">
        <v>6772</v>
      </c>
      <c r="P775" s="4">
        <f>OBRA!S773</f>
        <v>33325.64</v>
      </c>
      <c r="Q775" s="1045">
        <f t="shared" si="57"/>
        <v>28729</v>
      </c>
      <c r="R775" s="1045" t="s">
        <v>67</v>
      </c>
      <c r="S775" s="6">
        <f>OBRA!T773</f>
        <v>45308</v>
      </c>
      <c r="T775" s="1156">
        <f>OBRA!W773</f>
        <v>0</v>
      </c>
      <c r="U775" s="5">
        <f>OBRA!U773</f>
        <v>45309</v>
      </c>
      <c r="V775" s="11">
        <f>OBRA!V773</f>
        <v>45315</v>
      </c>
      <c r="W775" s="1557">
        <v>0</v>
      </c>
      <c r="X775" s="1119">
        <f>OBRA!AT773+OBRA!AU773</f>
        <v>0</v>
      </c>
      <c r="Y775" s="1040" t="s">
        <v>6790</v>
      </c>
      <c r="Z775" s="146" t="str">
        <f>OBRA!X773</f>
        <v>SOLEC ENERGY, S.A. DE C.V.</v>
      </c>
      <c r="AA775" s="146" t="s">
        <v>5669</v>
      </c>
      <c r="AB775" s="148" t="s">
        <v>4551</v>
      </c>
      <c r="AC775" s="146" t="s">
        <v>4552</v>
      </c>
      <c r="AD775" s="148" t="s">
        <v>6123</v>
      </c>
      <c r="AE775" s="1818" t="str">
        <f>OBRA!Y773</f>
        <v>C. IMELDA KARINA PÉREZ GONZÁLEZ</v>
      </c>
      <c r="AF775" s="19">
        <v>1</v>
      </c>
      <c r="AG775" s="2" t="s">
        <v>1573</v>
      </c>
      <c r="AH775" s="184">
        <f t="shared" si="58"/>
        <v>33325.64</v>
      </c>
      <c r="AI775" s="511"/>
      <c r="AJ775" s="511"/>
      <c r="AK775" s="511"/>
      <c r="AL775" s="626"/>
      <c r="AM775" s="1546"/>
      <c r="AN775" s="565"/>
      <c r="AO775" s="565"/>
      <c r="AP775" s="565"/>
      <c r="AQ775" s="507"/>
      <c r="AR775" s="507"/>
      <c r="AS775" s="512"/>
      <c r="AT775" s="507"/>
      <c r="AU775" s="507"/>
      <c r="AV775" s="507"/>
      <c r="AW775" s="507"/>
      <c r="AX775" s="507"/>
      <c r="AY775" s="507"/>
      <c r="AZ775" s="507"/>
      <c r="BA775" s="507"/>
      <c r="BB775" s="507"/>
      <c r="BC775" s="507"/>
      <c r="BD775" s="507"/>
      <c r="BE775" s="507"/>
      <c r="BF775" s="507"/>
      <c r="BG775" s="507"/>
      <c r="BH775" s="507"/>
      <c r="BI775" s="33"/>
      <c r="BJ775" s="12"/>
    </row>
    <row r="776" spans="1:62" ht="124.5" hidden="1" customHeight="1">
      <c r="A776" s="16">
        <f>OBRA!K774</f>
        <v>2024</v>
      </c>
      <c r="B776" s="781" t="s">
        <v>3947</v>
      </c>
      <c r="C776" s="781">
        <f>OBRA!L774</f>
        <v>242004</v>
      </c>
      <c r="D776" s="24" t="s">
        <v>2313</v>
      </c>
      <c r="E776" s="2" t="str">
        <f>OBRA!N774</f>
        <v>CUENTA CORRIENTE</v>
      </c>
      <c r="F776" s="512"/>
      <c r="G776" s="156" t="s">
        <v>2864</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4754</v>
      </c>
      <c r="M776" s="173" t="s">
        <v>6716</v>
      </c>
      <c r="N776" s="3" t="str">
        <f>OBRA!R774</f>
        <v>CABECERA MUNICIPAL</v>
      </c>
      <c r="O776" s="505" t="s">
        <v>6772</v>
      </c>
      <c r="P776" s="4">
        <f>OBRA!S774</f>
        <v>25520</v>
      </c>
      <c r="Q776" s="1045">
        <f t="shared" si="57"/>
        <v>22000</v>
      </c>
      <c r="R776" s="1045" t="s">
        <v>67</v>
      </c>
      <c r="S776" s="6">
        <f>OBRA!T774</f>
        <v>45296</v>
      </c>
      <c r="T776" s="1156">
        <f>OBRA!W774</f>
        <v>0</v>
      </c>
      <c r="U776" s="5">
        <f>OBRA!U774</f>
        <v>45299</v>
      </c>
      <c r="V776" s="11">
        <f>OBRA!V774</f>
        <v>45300</v>
      </c>
      <c r="W776" s="1557">
        <v>0</v>
      </c>
      <c r="X776" s="1119">
        <f>OBRA!AT774+OBRA!AU774</f>
        <v>0</v>
      </c>
      <c r="Y776" s="1040" t="s">
        <v>6790</v>
      </c>
      <c r="Z776" s="146" t="str">
        <f>OBRA!X774</f>
        <v>ING. MARCO ANTONIO PAREDES RODRÍGUEZ</v>
      </c>
      <c r="AA776" s="146" t="s">
        <v>5668</v>
      </c>
      <c r="AB776" s="1816" t="s">
        <v>3745</v>
      </c>
      <c r="AC776" s="146" t="s">
        <v>4295</v>
      </c>
      <c r="AD776" s="148" t="s">
        <v>6571</v>
      </c>
      <c r="AE776" s="1818" t="str">
        <f>OBRA!Y774</f>
        <v>C. IMELDA KARINA PÉREZ GONZÁLEZ</v>
      </c>
      <c r="AF776" s="19">
        <v>1</v>
      </c>
      <c r="AG776" s="2" t="s">
        <v>1573</v>
      </c>
      <c r="AH776" s="184">
        <f t="shared" si="58"/>
        <v>25520</v>
      </c>
      <c r="AI776" s="511"/>
      <c r="AJ776" s="511"/>
      <c r="AK776" s="1991">
        <v>1</v>
      </c>
      <c r="AL776" s="626"/>
      <c r="AM776" s="1546"/>
      <c r="AN776" s="565"/>
      <c r="AO776" s="565"/>
      <c r="AP776" s="565"/>
      <c r="AQ776" s="507"/>
      <c r="AR776" s="507"/>
      <c r="AS776" s="512"/>
      <c r="AT776" s="507"/>
      <c r="AU776" s="507"/>
      <c r="AV776" s="507"/>
      <c r="AW776" s="507"/>
      <c r="AX776" s="507"/>
      <c r="AY776" s="507"/>
      <c r="AZ776" s="507"/>
      <c r="BA776" s="507"/>
      <c r="BB776" s="507"/>
      <c r="BC776" s="507"/>
      <c r="BD776" s="507"/>
      <c r="BE776" s="507"/>
      <c r="BF776" s="507"/>
      <c r="BG776" s="507"/>
      <c r="BH776" s="507"/>
      <c r="BI776" s="33"/>
      <c r="BJ776" s="12"/>
    </row>
    <row r="777" spans="1:62" ht="194.25" hidden="1" customHeight="1">
      <c r="A777" s="16">
        <f>OBRA!K775</f>
        <v>2024</v>
      </c>
      <c r="B777" s="781" t="s">
        <v>3947</v>
      </c>
      <c r="C777" s="781">
        <f>OBRA!L775</f>
        <v>242005</v>
      </c>
      <c r="D777" s="24" t="s">
        <v>2313</v>
      </c>
      <c r="E777" s="2" t="str">
        <f>OBRA!N775</f>
        <v>CUENTA CORRIENTE</v>
      </c>
      <c r="F777" s="512"/>
      <c r="G777" s="156" t="s">
        <v>2864</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4754</v>
      </c>
      <c r="M777" s="173" t="s">
        <v>6718</v>
      </c>
      <c r="N777" s="3" t="str">
        <f>OBRA!R775</f>
        <v>NEXTIPAC</v>
      </c>
      <c r="O777" s="505" t="s">
        <v>6772</v>
      </c>
      <c r="P777" s="4">
        <f>OBRA!S775</f>
        <v>69600</v>
      </c>
      <c r="Q777" s="1045">
        <f t="shared" si="57"/>
        <v>60000.000000000007</v>
      </c>
      <c r="R777" s="1045" t="s">
        <v>6745</v>
      </c>
      <c r="S777" s="6">
        <f>OBRA!T775</f>
        <v>45348</v>
      </c>
      <c r="T777" s="1156">
        <f>OBRA!W775</f>
        <v>0</v>
      </c>
      <c r="U777" s="5">
        <f>OBRA!U775</f>
        <v>45349</v>
      </c>
      <c r="V777" s="11">
        <f>OBRA!V775</f>
        <v>45352</v>
      </c>
      <c r="W777" s="1557">
        <v>0</v>
      </c>
      <c r="X777" s="1119">
        <f>OBRA!AT775+OBRA!AU775</f>
        <v>0</v>
      </c>
      <c r="Y777" s="1040" t="s">
        <v>6790</v>
      </c>
      <c r="Z777" s="146" t="str">
        <f>OBRA!X775</f>
        <v xml:space="preserve">CICLOS GIP SC </v>
      </c>
      <c r="AA777" s="146" t="s">
        <v>5669</v>
      </c>
      <c r="AB777" s="1816" t="s">
        <v>4881</v>
      </c>
      <c r="AC777" s="1817" t="s">
        <v>4882</v>
      </c>
      <c r="AD777" s="1816" t="s">
        <v>4883</v>
      </c>
      <c r="AE777" s="1818" t="str">
        <f>OBRA!Y775</f>
        <v>C. IMELDA KARINA PÉREZ GONZÁLEZ</v>
      </c>
      <c r="AF777" s="19">
        <v>3</v>
      </c>
      <c r="AG777" s="2" t="s">
        <v>6780</v>
      </c>
      <c r="AH777" s="184">
        <f t="shared" si="58"/>
        <v>23200</v>
      </c>
      <c r="AI777" s="511"/>
      <c r="AJ777" s="511"/>
      <c r="AK777" s="1991">
        <v>1</v>
      </c>
      <c r="AL777" s="626"/>
      <c r="AM777" s="1546"/>
      <c r="AN777" s="565"/>
      <c r="AO777" s="565"/>
      <c r="AP777" s="565"/>
      <c r="AQ777" s="507"/>
      <c r="AR777" s="507"/>
      <c r="AS777" s="512"/>
      <c r="AT777" s="507"/>
      <c r="AU777" s="507"/>
      <c r="AV777" s="507"/>
      <c r="AW777" s="507"/>
      <c r="AX777" s="507"/>
      <c r="AY777" s="507"/>
      <c r="AZ777" s="507"/>
      <c r="BA777" s="507"/>
      <c r="BB777" s="507"/>
      <c r="BC777" s="507"/>
      <c r="BD777" s="507"/>
      <c r="BE777" s="507"/>
      <c r="BF777" s="507"/>
      <c r="BG777" s="507"/>
      <c r="BH777" s="507"/>
      <c r="BI777" s="33"/>
      <c r="BJ777" s="12"/>
    </row>
    <row r="778" spans="1:62" ht="81.75" hidden="1" customHeight="1">
      <c r="A778" s="16">
        <f>OBRA!K776</f>
        <v>2024</v>
      </c>
      <c r="B778" s="781" t="s">
        <v>3947</v>
      </c>
      <c r="C778" s="781">
        <f>OBRA!L776</f>
        <v>242006</v>
      </c>
      <c r="D778" s="24" t="s">
        <v>2313</v>
      </c>
      <c r="E778" s="2" t="str">
        <f>OBRA!N776</f>
        <v>CUENTA CORRIENTE</v>
      </c>
      <c r="F778" s="512"/>
      <c r="G778" s="156" t="s">
        <v>2864</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6712</v>
      </c>
      <c r="M778" s="173" t="s">
        <v>6719</v>
      </c>
      <c r="N778" s="3" t="str">
        <f>OBRA!R776</f>
        <v>CABECERA MUNICIPAL</v>
      </c>
      <c r="O778" s="505" t="s">
        <v>6772</v>
      </c>
      <c r="P778" s="4">
        <f>OBRA!S776</f>
        <v>9048</v>
      </c>
      <c r="Q778" s="1045">
        <f t="shared" si="57"/>
        <v>7800.0000000000009</v>
      </c>
      <c r="R778" s="1045" t="s">
        <v>67</v>
      </c>
      <c r="S778" s="6">
        <f>OBRA!T776</f>
        <v>45362</v>
      </c>
      <c r="T778" s="1156">
        <f>OBRA!W776</f>
        <v>0</v>
      </c>
      <c r="U778" s="5">
        <f>OBRA!U776</f>
        <v>45363</v>
      </c>
      <c r="V778" s="11">
        <f>OBRA!V776</f>
        <v>45365</v>
      </c>
      <c r="W778" s="1557">
        <v>0</v>
      </c>
      <c r="X778" s="1119">
        <f>OBRA!AT776+OBRA!AU776</f>
        <v>0</v>
      </c>
      <c r="Y778" s="1040" t="s">
        <v>6790</v>
      </c>
      <c r="Z778" s="146" t="str">
        <f>OBRA!X776</f>
        <v>SOLEC ENERGY, S.A. DE C.V.</v>
      </c>
      <c r="AA778" s="146" t="s">
        <v>5669</v>
      </c>
      <c r="AB778" s="148" t="s">
        <v>4551</v>
      </c>
      <c r="AC778" s="146" t="s">
        <v>4552</v>
      </c>
      <c r="AD778" s="148" t="s">
        <v>6123</v>
      </c>
      <c r="AE778" s="1818" t="str">
        <f>OBRA!Y776</f>
        <v>C. IMELDA KARINA PÉREZ GONZÁLEZ</v>
      </c>
      <c r="AF778" s="19">
        <v>1</v>
      </c>
      <c r="AG778" s="2" t="s">
        <v>1573</v>
      </c>
      <c r="AH778" s="184">
        <f t="shared" si="58"/>
        <v>9048</v>
      </c>
      <c r="AI778" s="511"/>
      <c r="AJ778" s="511"/>
      <c r="AK778" s="1991">
        <v>1</v>
      </c>
      <c r="AL778" s="626"/>
      <c r="AM778" s="1546"/>
      <c r="AN778" s="565"/>
      <c r="AO778" s="565"/>
      <c r="AP778" s="565"/>
      <c r="AQ778" s="507"/>
      <c r="AR778" s="507"/>
      <c r="AS778" s="512"/>
      <c r="AT778" s="507"/>
      <c r="AU778" s="507"/>
      <c r="AV778" s="507"/>
      <c r="AW778" s="507"/>
      <c r="AX778" s="507"/>
      <c r="AY778" s="507"/>
      <c r="AZ778" s="507"/>
      <c r="BA778" s="507"/>
      <c r="BB778" s="507"/>
      <c r="BC778" s="507"/>
      <c r="BD778" s="507"/>
      <c r="BE778" s="507"/>
      <c r="BF778" s="507"/>
      <c r="BG778" s="507"/>
      <c r="BH778" s="507"/>
      <c r="BI778" s="33"/>
      <c r="BJ778" s="12"/>
    </row>
    <row r="779" spans="1:62" ht="211.5" hidden="1" customHeight="1">
      <c r="A779" s="16">
        <f>OBRA!K777</f>
        <v>2024</v>
      </c>
      <c r="B779" s="781" t="s">
        <v>3947</v>
      </c>
      <c r="C779" s="781">
        <f>OBRA!L777</f>
        <v>242007</v>
      </c>
      <c r="D779" s="24" t="s">
        <v>2313</v>
      </c>
      <c r="E779" s="2" t="str">
        <f>OBRA!N777</f>
        <v>CUENTA CORRIENTE</v>
      </c>
      <c r="F779" s="512"/>
      <c r="G779" s="156" t="s">
        <v>2864</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4754</v>
      </c>
      <c r="M779" s="1491" t="s">
        <v>6720</v>
      </c>
      <c r="N779" s="3" t="str">
        <f>OBRA!R777</f>
        <v>MPIO: CHANTEPEC Y NEXTIPAC</v>
      </c>
      <c r="O779" s="505" t="s">
        <v>6772</v>
      </c>
      <c r="P779" s="4">
        <f>OBRA!S777</f>
        <v>5800</v>
      </c>
      <c r="Q779" s="1045">
        <f t="shared" si="57"/>
        <v>5000</v>
      </c>
      <c r="R779" s="1045" t="s">
        <v>6746</v>
      </c>
      <c r="S779" s="6">
        <f>OBRA!T777</f>
        <v>45363</v>
      </c>
      <c r="T779" s="1156">
        <f>OBRA!W777</f>
        <v>0</v>
      </c>
      <c r="U779" s="5">
        <f>OBRA!U777</f>
        <v>45365</v>
      </c>
      <c r="V779" s="11">
        <f>OBRA!V777</f>
        <v>45365</v>
      </c>
      <c r="W779" s="1557">
        <v>0</v>
      </c>
      <c r="X779" s="1119">
        <f>OBRA!AT777+OBRA!AU777</f>
        <v>0</v>
      </c>
      <c r="Y779" s="1040" t="s">
        <v>6790</v>
      </c>
      <c r="Z779" s="146" t="str">
        <f>OBRA!X777</f>
        <v>C. ROBERTO GARCÍA NAVARRO</v>
      </c>
      <c r="AA779" s="146" t="s">
        <v>5668</v>
      </c>
      <c r="AB779" s="148" t="str">
        <f>Z779</f>
        <v>C. ROBERTO GARCÍA NAVARRO</v>
      </c>
      <c r="AC779" s="163"/>
      <c r="AD779" s="1193"/>
      <c r="AE779" s="1818" t="str">
        <f>OBRA!Y777</f>
        <v>C. IMELDA KARINA PÉREZ GONZÁLEZ</v>
      </c>
      <c r="AF779" s="19">
        <v>4</v>
      </c>
      <c r="AG779" s="2" t="s">
        <v>1573</v>
      </c>
      <c r="AH779" s="184">
        <f t="shared" si="58"/>
        <v>1450</v>
      </c>
      <c r="AI779" s="511"/>
      <c r="AJ779" s="511"/>
      <c r="AK779" s="1991">
        <v>1</v>
      </c>
      <c r="AL779" s="626"/>
      <c r="AM779" s="1546"/>
      <c r="AN779" s="565"/>
      <c r="AO779" s="565"/>
      <c r="AP779" s="565"/>
      <c r="AQ779" s="507"/>
      <c r="AR779" s="507"/>
      <c r="AS779" s="512"/>
      <c r="AT779" s="507"/>
      <c r="AU779" s="507"/>
      <c r="AV779" s="507"/>
      <c r="AW779" s="507"/>
      <c r="AX779" s="507"/>
      <c r="AY779" s="507"/>
      <c r="AZ779" s="507"/>
      <c r="BA779" s="507"/>
      <c r="BB779" s="507"/>
      <c r="BC779" s="507"/>
      <c r="BD779" s="507"/>
      <c r="BE779" s="507"/>
      <c r="BF779" s="507"/>
      <c r="BG779" s="507"/>
      <c r="BH779" s="507"/>
      <c r="BI779" s="33"/>
      <c r="BJ779" s="12"/>
    </row>
    <row r="780" spans="1:62" ht="116.25" hidden="1" customHeight="1">
      <c r="A780" s="16">
        <f>OBRA!K778</f>
        <v>2024</v>
      </c>
      <c r="B780" s="781" t="s">
        <v>3947</v>
      </c>
      <c r="C780" s="781">
        <f>OBRA!L778</f>
        <v>242008</v>
      </c>
      <c r="D780" s="24" t="s">
        <v>2313</v>
      </c>
      <c r="E780" s="2" t="str">
        <f>OBRA!N778</f>
        <v>CUENTA CORRIENTE</v>
      </c>
      <c r="F780" s="512"/>
      <c r="G780" s="156" t="s">
        <v>2864</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4754</v>
      </c>
      <c r="M780" s="173" t="s">
        <v>6721</v>
      </c>
      <c r="N780" s="3" t="str">
        <f>OBRA!R778</f>
        <v>HUEJOTITÁN</v>
      </c>
      <c r="O780" s="505" t="s">
        <v>6772</v>
      </c>
      <c r="P780" s="4">
        <f>OBRA!S778</f>
        <v>77546</v>
      </c>
      <c r="Q780" s="1045">
        <f t="shared" si="57"/>
        <v>66850</v>
      </c>
      <c r="R780" s="1045" t="s">
        <v>6745</v>
      </c>
      <c r="S780" s="6">
        <f>OBRA!T778</f>
        <v>45362</v>
      </c>
      <c r="T780" s="1156">
        <f>OBRA!W778</f>
        <v>0</v>
      </c>
      <c r="U780" s="5">
        <f>OBRA!U778</f>
        <v>45363</v>
      </c>
      <c r="V780" s="11">
        <f>OBRA!V778</f>
        <v>45364</v>
      </c>
      <c r="W780" s="1557">
        <v>0</v>
      </c>
      <c r="X780" s="1119">
        <f>OBRA!AT778+OBRA!AU778</f>
        <v>0</v>
      </c>
      <c r="Y780" s="1040" t="s">
        <v>6790</v>
      </c>
      <c r="Z780" s="146" t="str">
        <f>OBRA!X778</f>
        <v>ING. MARCO ANTONIO PAREDES RODRÍGUEZ</v>
      </c>
      <c r="AA780" s="146" t="s">
        <v>5668</v>
      </c>
      <c r="AB780" s="1816" t="s">
        <v>3745</v>
      </c>
      <c r="AC780" s="146" t="s">
        <v>4295</v>
      </c>
      <c r="AD780" s="148" t="s">
        <v>6571</v>
      </c>
      <c r="AE780" s="1818" t="str">
        <f>OBRA!Y778</f>
        <v>C. IMELDA KARINA PÉREZ GONZÁLEZ</v>
      </c>
      <c r="AF780" s="19">
        <v>1</v>
      </c>
      <c r="AG780" s="2" t="s">
        <v>1573</v>
      </c>
      <c r="AH780" s="184">
        <f t="shared" si="58"/>
        <v>77546</v>
      </c>
      <c r="AI780" s="511"/>
      <c r="AJ780" s="511"/>
      <c r="AK780" s="1991">
        <v>1</v>
      </c>
      <c r="AL780" s="626"/>
      <c r="AM780" s="1546"/>
      <c r="AN780" s="565"/>
      <c r="AO780" s="565"/>
      <c r="AP780" s="565"/>
      <c r="AQ780" s="507"/>
      <c r="AR780" s="507"/>
      <c r="AS780" s="512"/>
      <c r="AT780" s="507"/>
      <c r="AU780" s="507"/>
      <c r="AV780" s="507"/>
      <c r="AW780" s="507"/>
      <c r="AX780" s="507"/>
      <c r="AY780" s="507"/>
      <c r="AZ780" s="507"/>
      <c r="BA780" s="507"/>
      <c r="BB780" s="507"/>
      <c r="BC780" s="507"/>
      <c r="BD780" s="507"/>
      <c r="BE780" s="507"/>
      <c r="BF780" s="507"/>
      <c r="BG780" s="507"/>
      <c r="BH780" s="507"/>
      <c r="BI780" s="33"/>
      <c r="BJ780" s="12"/>
    </row>
    <row r="781" spans="1:62" ht="136.5" hidden="1" customHeight="1">
      <c r="A781" s="16">
        <f>OBRA!K779</f>
        <v>2024</v>
      </c>
      <c r="B781" s="781" t="s">
        <v>3947</v>
      </c>
      <c r="C781" s="781">
        <f>OBRA!L779</f>
        <v>242009</v>
      </c>
      <c r="D781" s="24" t="s">
        <v>2313</v>
      </c>
      <c r="E781" s="2" t="str">
        <f>OBRA!N779</f>
        <v>CUENTA CORRIENTE</v>
      </c>
      <c r="F781" s="512"/>
      <c r="G781" s="156" t="s">
        <v>2864</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6249</v>
      </c>
      <c r="M781" s="173" t="s">
        <v>6723</v>
      </c>
      <c r="N781" s="3" t="str">
        <f>OBRA!R779</f>
        <v>HUEJOTITÁN</v>
      </c>
      <c r="O781" s="505" t="s">
        <v>6772</v>
      </c>
      <c r="P781" s="4">
        <f>OBRA!S779</f>
        <v>61479.999999999993</v>
      </c>
      <c r="Q781" s="1045">
        <f t="shared" si="57"/>
        <v>53000</v>
      </c>
      <c r="R781" s="1045" t="s">
        <v>67</v>
      </c>
      <c r="S781" s="6">
        <f>OBRA!T779</f>
        <v>45369</v>
      </c>
      <c r="T781" s="1156">
        <f>OBRA!W779</f>
        <v>0</v>
      </c>
      <c r="U781" s="5">
        <f>OBRA!U779</f>
        <v>45370</v>
      </c>
      <c r="V781" s="11">
        <f>OBRA!V779</f>
        <v>45372</v>
      </c>
      <c r="W781" s="1557">
        <v>0</v>
      </c>
      <c r="X781" s="1119">
        <f>OBRA!AT779+OBRA!AU779</f>
        <v>0</v>
      </c>
      <c r="Y781" s="1040" t="s">
        <v>6790</v>
      </c>
      <c r="Z781" s="146" t="str">
        <f>OBRA!X779</f>
        <v>ING. SERGIO CABRERA</v>
      </c>
      <c r="AA781" s="146" t="s">
        <v>5668</v>
      </c>
      <c r="AB781" s="1816" t="s">
        <v>4447</v>
      </c>
      <c r="AC781" s="146" t="s">
        <v>1922</v>
      </c>
      <c r="AD781" s="148" t="s">
        <v>6049</v>
      </c>
      <c r="AE781" s="1818" t="str">
        <f>OBRA!Y779</f>
        <v>C. IMELDA KARINA PÉREZ GONZÁLEZ</v>
      </c>
      <c r="AF781" s="19">
        <v>1</v>
      </c>
      <c r="AG781" s="2" t="s">
        <v>6433</v>
      </c>
      <c r="AH781" s="184">
        <f t="shared" si="58"/>
        <v>61479.999999999993</v>
      </c>
      <c r="AI781" s="511"/>
      <c r="AJ781" s="511"/>
      <c r="AK781" s="1991">
        <v>1</v>
      </c>
      <c r="AL781" s="626"/>
      <c r="AM781" s="1546"/>
      <c r="AN781" s="565"/>
      <c r="AO781" s="565"/>
      <c r="AP781" s="565"/>
      <c r="AQ781" s="507"/>
      <c r="AR781" s="507"/>
      <c r="AS781" s="512"/>
      <c r="AT781" s="507"/>
      <c r="AU781" s="507"/>
      <c r="AV781" s="507"/>
      <c r="AW781" s="507"/>
      <c r="AX781" s="507"/>
      <c r="AY781" s="507"/>
      <c r="AZ781" s="507"/>
      <c r="BA781" s="507"/>
      <c r="BB781" s="507"/>
      <c r="BC781" s="507"/>
      <c r="BD781" s="507"/>
      <c r="BE781" s="507"/>
      <c r="BF781" s="507"/>
      <c r="BG781" s="507"/>
      <c r="BH781" s="507"/>
      <c r="BI781" s="33"/>
      <c r="BJ781" s="12"/>
    </row>
    <row r="782" spans="1:62" ht="91.5" hidden="1" customHeight="1">
      <c r="A782" s="16">
        <f>OBRA!K780</f>
        <v>2024</v>
      </c>
      <c r="B782" s="781" t="s">
        <v>3947</v>
      </c>
      <c r="C782" s="781">
        <f>OBRA!L780</f>
        <v>242010</v>
      </c>
      <c r="D782" s="24" t="s">
        <v>2313</v>
      </c>
      <c r="E782" s="2" t="str">
        <f>OBRA!N780</f>
        <v>CUENTA CORRIENTE</v>
      </c>
      <c r="F782" s="512"/>
      <c r="G782" s="156" t="s">
        <v>2864</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6712</v>
      </c>
      <c r="M782" s="173" t="s">
        <v>2720</v>
      </c>
      <c r="N782" s="3" t="str">
        <f>OBRA!R780</f>
        <v>SAN JUAN COSALÁ</v>
      </c>
      <c r="O782" s="505" t="s">
        <v>6772</v>
      </c>
      <c r="P782" s="4">
        <f>OBRA!S780</f>
        <v>47923.079999999994</v>
      </c>
      <c r="Q782" s="1045">
        <f t="shared" si="57"/>
        <v>41313</v>
      </c>
      <c r="R782" s="1045" t="s">
        <v>67</v>
      </c>
      <c r="S782" s="6">
        <f>OBRA!T780</f>
        <v>45370</v>
      </c>
      <c r="T782" s="1156">
        <f>OBRA!W780</f>
        <v>0</v>
      </c>
      <c r="U782" s="5">
        <f>OBRA!U780</f>
        <v>45372</v>
      </c>
      <c r="V782" s="11">
        <f>OBRA!V780</f>
        <v>45376</v>
      </c>
      <c r="W782" s="1557">
        <v>0</v>
      </c>
      <c r="X782" s="1119">
        <f>OBRA!AT780+OBRA!AU780</f>
        <v>0</v>
      </c>
      <c r="Y782" s="1040" t="s">
        <v>6790</v>
      </c>
      <c r="Z782" s="146" t="str">
        <f>OBRA!X780</f>
        <v>C. JUAN CARLOS CHAIRES SALCEDO</v>
      </c>
      <c r="AA782" s="146" t="s">
        <v>5668</v>
      </c>
      <c r="AB782" s="148" t="s">
        <v>4551</v>
      </c>
      <c r="AC782" s="146" t="s">
        <v>4552</v>
      </c>
      <c r="AD782" s="148" t="s">
        <v>6570</v>
      </c>
      <c r="AE782" s="1818" t="str">
        <f>OBRA!Y780</f>
        <v>C. IMELDA KARINA PÉREZ GONZÁLEZ</v>
      </c>
      <c r="AF782" s="19">
        <v>1</v>
      </c>
      <c r="AG782" s="2" t="s">
        <v>1573</v>
      </c>
      <c r="AH782" s="184">
        <f t="shared" si="58"/>
        <v>47923.079999999994</v>
      </c>
      <c r="AI782" s="511"/>
      <c r="AJ782" s="511"/>
      <c r="AK782" s="1991">
        <v>1</v>
      </c>
      <c r="AL782" s="626"/>
      <c r="AM782" s="1546"/>
      <c r="AN782" s="565"/>
      <c r="AO782" s="565"/>
      <c r="AP782" s="565"/>
      <c r="AQ782" s="507"/>
      <c r="AR782" s="507"/>
      <c r="AS782" s="512"/>
      <c r="AT782" s="507"/>
      <c r="AU782" s="507"/>
      <c r="AV782" s="507"/>
      <c r="AW782" s="507"/>
      <c r="AX782" s="507"/>
      <c r="AY782" s="507"/>
      <c r="AZ782" s="507"/>
      <c r="BA782" s="507"/>
      <c r="BB782" s="507"/>
      <c r="BC782" s="507"/>
      <c r="BD782" s="507"/>
      <c r="BE782" s="507"/>
      <c r="BF782" s="507"/>
      <c r="BG782" s="507"/>
      <c r="BH782" s="507"/>
      <c r="BI782" s="33"/>
      <c r="BJ782" s="12"/>
    </row>
    <row r="783" spans="1:62" ht="183.75" hidden="1" customHeight="1">
      <c r="A783" s="16">
        <f>OBRA!K781</f>
        <v>2024</v>
      </c>
      <c r="B783" s="781" t="s">
        <v>3947</v>
      </c>
      <c r="C783" s="781"/>
      <c r="D783" s="24"/>
      <c r="E783" s="2" t="str">
        <f>OBRA!N781</f>
        <v>CUENTA CORRIENTE</v>
      </c>
      <c r="F783" s="512"/>
      <c r="G783" s="156" t="s">
        <v>2864</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4754</v>
      </c>
      <c r="M783" s="173" t="s">
        <v>6724</v>
      </c>
      <c r="N783" s="3" t="str">
        <f>OBRA!R781</f>
        <v>CHANTEPEC</v>
      </c>
      <c r="O783" s="505" t="s">
        <v>6773</v>
      </c>
      <c r="P783" s="4">
        <f>OBRA!S781</f>
        <v>97208</v>
      </c>
      <c r="Q783" s="1045">
        <f t="shared" ref="Q783:Q792" si="59">P783/1.16</f>
        <v>83800</v>
      </c>
      <c r="R783" s="1045" t="s">
        <v>6745</v>
      </c>
      <c r="S783" s="6">
        <f>OBRA!T781</f>
        <v>45383</v>
      </c>
      <c r="T783" s="1156">
        <f>OBRA!W781</f>
        <v>0</v>
      </c>
      <c r="U783" s="5">
        <f>OBRA!U781</f>
        <v>45384</v>
      </c>
      <c r="V783" s="11">
        <f>OBRA!V781</f>
        <v>45386</v>
      </c>
      <c r="W783" s="1557">
        <v>0</v>
      </c>
      <c r="X783" s="1119">
        <f>OBRA!AT781+OBRA!AU781</f>
        <v>0</v>
      </c>
      <c r="Y783" s="1040" t="s">
        <v>6790</v>
      </c>
      <c r="Z783" s="146" t="str">
        <f>OBRA!X781</f>
        <v>ING. MARCO ANTONIO PAREDES RODRÍGUEZ</v>
      </c>
      <c r="AA783" s="146" t="s">
        <v>5668</v>
      </c>
      <c r="AB783" s="1816" t="s">
        <v>3745</v>
      </c>
      <c r="AC783" s="146" t="s">
        <v>4295</v>
      </c>
      <c r="AD783" s="148" t="s">
        <v>6571</v>
      </c>
      <c r="AE783" s="1818" t="str">
        <f>OBRA!Y781</f>
        <v>C. IMELDA KARINA PÉREZ GONZÁLEZ</v>
      </c>
      <c r="AF783" s="19">
        <v>1</v>
      </c>
      <c r="AG783" s="2" t="s">
        <v>1573</v>
      </c>
      <c r="AH783" s="184">
        <f t="shared" si="58"/>
        <v>97208</v>
      </c>
      <c r="AI783" s="511"/>
      <c r="AJ783" s="511"/>
      <c r="AK783" s="1991">
        <v>1</v>
      </c>
      <c r="AL783" s="626"/>
      <c r="AM783" s="1546"/>
      <c r="AN783" s="565"/>
      <c r="AO783" s="565"/>
      <c r="AP783" s="565"/>
      <c r="AQ783" s="507"/>
      <c r="AR783" s="507"/>
      <c r="AS783" s="512"/>
      <c r="AT783" s="507"/>
      <c r="AU783" s="507"/>
      <c r="AV783" s="507"/>
      <c r="AW783" s="507"/>
      <c r="AX783" s="507"/>
      <c r="AY783" s="507"/>
      <c r="AZ783" s="507"/>
      <c r="BA783" s="507"/>
      <c r="BB783" s="507"/>
      <c r="BC783" s="507"/>
      <c r="BD783" s="507"/>
      <c r="BE783" s="507"/>
      <c r="BF783" s="507"/>
      <c r="BG783" s="507"/>
      <c r="BH783" s="507"/>
      <c r="BI783" s="33"/>
      <c r="BJ783" s="12"/>
    </row>
    <row r="784" spans="1:62" ht="69.75" hidden="1" customHeight="1">
      <c r="A784" s="16">
        <f>OBRA!K782</f>
        <v>2024</v>
      </c>
      <c r="B784" s="781" t="s">
        <v>3947</v>
      </c>
      <c r="C784" s="781"/>
      <c r="D784" s="24"/>
      <c r="E784" s="2" t="str">
        <f>OBRA!N782</f>
        <v>CUENTA CORRIENTE</v>
      </c>
      <c r="F784" s="512"/>
      <c r="G784" s="156" t="s">
        <v>2864</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4754</v>
      </c>
      <c r="M784" s="173" t="s">
        <v>6725</v>
      </c>
      <c r="N784" s="3" t="str">
        <f>OBRA!R782</f>
        <v>CABECERA MUNICIPAL</v>
      </c>
      <c r="O784" s="505" t="s">
        <v>6773</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6790</v>
      </c>
      <c r="Z784" s="146" t="str">
        <f>OBRA!X782</f>
        <v>PERFORACIONES TEPATITLÁN, S.A. DE C.V.</v>
      </c>
      <c r="AA784" s="146" t="s">
        <v>5669</v>
      </c>
      <c r="AB784" s="148" t="s">
        <v>6753</v>
      </c>
      <c r="AC784" s="146" t="s">
        <v>6754</v>
      </c>
      <c r="AD784" s="148" t="s">
        <v>6755</v>
      </c>
      <c r="AE784" s="1818" t="str">
        <f>OBRA!Y782</f>
        <v>C. IMELDA KARINA PÉREZ GONZÁLEZ</v>
      </c>
      <c r="AF784" s="19">
        <v>1</v>
      </c>
      <c r="AG784" s="2" t="s">
        <v>1573</v>
      </c>
      <c r="AH784" s="184">
        <f t="shared" si="58"/>
        <v>174092.79999999999</v>
      </c>
      <c r="AI784" s="511"/>
      <c r="AJ784" s="511"/>
      <c r="AK784" s="1991">
        <v>1</v>
      </c>
      <c r="AL784" s="626"/>
      <c r="AM784" s="1546"/>
      <c r="AN784" s="565"/>
      <c r="AO784" s="565"/>
      <c r="AP784" s="565"/>
      <c r="AQ784" s="507"/>
      <c r="AR784" s="507"/>
      <c r="AS784" s="512"/>
      <c r="AT784" s="507"/>
      <c r="AU784" s="507"/>
      <c r="AV784" s="507"/>
      <c r="AW784" s="507"/>
      <c r="AX784" s="507"/>
      <c r="AY784" s="507"/>
      <c r="AZ784" s="507"/>
      <c r="BA784" s="507"/>
      <c r="BB784" s="507"/>
      <c r="BC784" s="507"/>
      <c r="BD784" s="507"/>
      <c r="BE784" s="507"/>
      <c r="BF784" s="507"/>
      <c r="BG784" s="507"/>
      <c r="BH784" s="507"/>
      <c r="BI784" s="33"/>
      <c r="BJ784" s="12"/>
    </row>
    <row r="785" spans="1:62" ht="143.25" hidden="1" customHeight="1">
      <c r="A785" s="16">
        <f>OBRA!K783</f>
        <v>2024</v>
      </c>
      <c r="B785" s="781" t="s">
        <v>3947</v>
      </c>
      <c r="C785" s="781"/>
      <c r="D785" s="24"/>
      <c r="E785" s="2" t="str">
        <f>OBRA!N783</f>
        <v>CUENTA CORRIENTE</v>
      </c>
      <c r="F785" s="512"/>
      <c r="G785" s="156" t="s">
        <v>2864</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4754</v>
      </c>
      <c r="M785" s="1491" t="s">
        <v>6726</v>
      </c>
      <c r="N785" s="3" t="str">
        <f>OBRA!R783</f>
        <v>MPIO: CABECERA Y SAN JUAN COSALÁ</v>
      </c>
      <c r="O785" s="505" t="s">
        <v>6773</v>
      </c>
      <c r="P785" s="4">
        <f>OBRA!S783</f>
        <v>6380</v>
      </c>
      <c r="Q785" s="1045">
        <f t="shared" si="59"/>
        <v>5500</v>
      </c>
      <c r="R785" s="1045" t="s">
        <v>6746</v>
      </c>
      <c r="S785" s="6">
        <f>OBRA!T783</f>
        <v>45399</v>
      </c>
      <c r="T785" s="1156">
        <f>OBRA!W783</f>
        <v>0</v>
      </c>
      <c r="U785" s="5">
        <f>OBRA!U783</f>
        <v>45400</v>
      </c>
      <c r="V785" s="11">
        <f>OBRA!V783</f>
        <v>45401</v>
      </c>
      <c r="W785" s="1557">
        <v>0</v>
      </c>
      <c r="X785" s="1119">
        <f>OBRA!AT783+OBRA!AU783</f>
        <v>0</v>
      </c>
      <c r="Y785" s="1040" t="s">
        <v>6790</v>
      </c>
      <c r="Z785" s="146" t="str">
        <f>OBRA!X783</f>
        <v xml:space="preserve">DORIA &amp; SAMPIER CONSTRUCTORA, S.A. DE C.V. </v>
      </c>
      <c r="AA785" s="146" t="s">
        <v>5669</v>
      </c>
      <c r="AB785" s="1816" t="s">
        <v>5610</v>
      </c>
      <c r="AC785" s="1817" t="s">
        <v>4404</v>
      </c>
      <c r="AD785" s="148" t="s">
        <v>6574</v>
      </c>
      <c r="AE785" s="1818" t="str">
        <f>OBRA!Y783</f>
        <v>C. IMELDA KARINA PÉREZ GONZÁLEZ</v>
      </c>
      <c r="AF785" s="19">
        <v>3</v>
      </c>
      <c r="AG785" s="2" t="s">
        <v>6780</v>
      </c>
      <c r="AH785" s="184">
        <f t="shared" si="58"/>
        <v>2126.6666666666665</v>
      </c>
      <c r="AI785" s="511"/>
      <c r="AJ785" s="511"/>
      <c r="AK785" s="1991">
        <v>1</v>
      </c>
      <c r="AL785" s="626"/>
      <c r="AM785" s="1546"/>
      <c r="AN785" s="565"/>
      <c r="AO785" s="565"/>
      <c r="AP785" s="565"/>
      <c r="AQ785" s="507"/>
      <c r="AR785" s="507"/>
      <c r="AS785" s="512"/>
      <c r="AT785" s="507"/>
      <c r="AU785" s="507"/>
      <c r="AV785" s="507"/>
      <c r="AW785" s="507"/>
      <c r="AX785" s="507"/>
      <c r="AY785" s="507"/>
      <c r="AZ785" s="507"/>
      <c r="BA785" s="507"/>
      <c r="BB785" s="507"/>
      <c r="BC785" s="507"/>
      <c r="BD785" s="507"/>
      <c r="BE785" s="507"/>
      <c r="BF785" s="507"/>
      <c r="BG785" s="507"/>
      <c r="BH785" s="507"/>
      <c r="BI785" s="33"/>
      <c r="BJ785" s="12"/>
    </row>
    <row r="786" spans="1:62" ht="175.5" hidden="1" customHeight="1">
      <c r="A786" s="16">
        <f>OBRA!K784</f>
        <v>2024</v>
      </c>
      <c r="B786" s="781" t="s">
        <v>3947</v>
      </c>
      <c r="C786" s="781"/>
      <c r="D786" s="24"/>
      <c r="E786" s="2" t="str">
        <f>OBRA!N784</f>
        <v>CUENTA CORRIENTE</v>
      </c>
      <c r="F786" s="512"/>
      <c r="G786" s="156" t="s">
        <v>2864</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4754</v>
      </c>
      <c r="M786" s="1491" t="s">
        <v>6727</v>
      </c>
      <c r="N786" s="3" t="str">
        <f>OBRA!R784</f>
        <v>MPIO: CABECERA, SAN JUAN COSALA Y CHANTEPEC</v>
      </c>
      <c r="O786" s="505" t="s">
        <v>6773</v>
      </c>
      <c r="P786" s="4">
        <f>OBRA!S784</f>
        <v>23200</v>
      </c>
      <c r="Q786" s="1045">
        <f t="shared" si="59"/>
        <v>20000</v>
      </c>
      <c r="R786" s="1045" t="s">
        <v>6746</v>
      </c>
      <c r="S786" s="6">
        <f>OBRA!T784</f>
        <v>45397</v>
      </c>
      <c r="T786" s="1156">
        <f>OBRA!W784</f>
        <v>0</v>
      </c>
      <c r="U786" s="5">
        <f>OBRA!U784</f>
        <v>45398</v>
      </c>
      <c r="V786" s="11">
        <f>OBRA!V784</f>
        <v>45401</v>
      </c>
      <c r="W786" s="1557">
        <v>0</v>
      </c>
      <c r="X786" s="1119">
        <f>OBRA!AT784+OBRA!AU784</f>
        <v>0</v>
      </c>
      <c r="Y786" s="1040" t="s">
        <v>6790</v>
      </c>
      <c r="Z786" s="146" t="str">
        <f>OBRA!X784</f>
        <v xml:space="preserve">CICLOS GIP SC </v>
      </c>
      <c r="AA786" s="146" t="s">
        <v>5669</v>
      </c>
      <c r="AB786" s="1816" t="s">
        <v>4881</v>
      </c>
      <c r="AC786" s="1817" t="s">
        <v>4882</v>
      </c>
      <c r="AD786" s="1816" t="s">
        <v>4883</v>
      </c>
      <c r="AE786" s="1818" t="str">
        <f>OBRA!Y784</f>
        <v>C. IMELDA KARINA PÉREZ GONZÁLEZ</v>
      </c>
      <c r="AF786" s="19">
        <v>4</v>
      </c>
      <c r="AG786" s="2" t="s">
        <v>6780</v>
      </c>
      <c r="AH786" s="184">
        <f t="shared" si="58"/>
        <v>5800</v>
      </c>
      <c r="AI786" s="511"/>
      <c r="AJ786" s="511"/>
      <c r="AK786" s="1991">
        <v>1</v>
      </c>
      <c r="AL786" s="626"/>
      <c r="AM786" s="1546"/>
      <c r="AN786" s="565"/>
      <c r="AO786" s="565"/>
      <c r="AP786" s="565"/>
      <c r="AQ786" s="507"/>
      <c r="AR786" s="507"/>
      <c r="AS786" s="512"/>
      <c r="AT786" s="507"/>
      <c r="AU786" s="507"/>
      <c r="AV786" s="507"/>
      <c r="AW786" s="507"/>
      <c r="AX786" s="507"/>
      <c r="AY786" s="507"/>
      <c r="AZ786" s="507"/>
      <c r="BA786" s="507"/>
      <c r="BB786" s="507"/>
      <c r="BC786" s="507"/>
      <c r="BD786" s="507"/>
      <c r="BE786" s="507"/>
      <c r="BF786" s="507"/>
      <c r="BG786" s="507"/>
      <c r="BH786" s="507"/>
      <c r="BI786" s="33"/>
      <c r="BJ786" s="12"/>
    </row>
    <row r="787" spans="1:62" ht="147" hidden="1" customHeight="1">
      <c r="A787" s="16">
        <f>OBRA!K785</f>
        <v>2024</v>
      </c>
      <c r="B787" s="781" t="s">
        <v>3947</v>
      </c>
      <c r="C787" s="781"/>
      <c r="D787" s="24"/>
      <c r="E787" s="2" t="str">
        <f>OBRA!N785</f>
        <v>CUENTA CORRIENTE</v>
      </c>
      <c r="F787" s="512"/>
      <c r="G787" s="156" t="s">
        <v>2864</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4754</v>
      </c>
      <c r="M787" s="173" t="s">
        <v>6728</v>
      </c>
      <c r="N787" s="3" t="str">
        <f>OBRA!R785</f>
        <v>MPIO: SAN JUAN COSALA, CABECERA Y CHANTEPEC</v>
      </c>
      <c r="O787" s="505" t="s">
        <v>6773</v>
      </c>
      <c r="P787" s="4">
        <f>OBRA!S785</f>
        <v>6380</v>
      </c>
      <c r="Q787" s="1045">
        <f t="shared" si="59"/>
        <v>5500</v>
      </c>
      <c r="R787" s="1045" t="s">
        <v>6746</v>
      </c>
      <c r="S787" s="6">
        <f>OBRA!T785</f>
        <v>45401</v>
      </c>
      <c r="T787" s="1156">
        <f>OBRA!W785</f>
        <v>0</v>
      </c>
      <c r="U787" s="5">
        <f>OBRA!U785</f>
        <v>45405</v>
      </c>
      <c r="V787" s="11">
        <f>OBRA!V785</f>
        <v>45406</v>
      </c>
      <c r="W787" s="1557">
        <v>0</v>
      </c>
      <c r="X787" s="1119">
        <f>OBRA!AT785+OBRA!AU785</f>
        <v>0</v>
      </c>
      <c r="Y787" s="1040" t="s">
        <v>6790</v>
      </c>
      <c r="Z787" s="146" t="str">
        <f>OBRA!X785</f>
        <v xml:space="preserve">DORIA &amp; SAMPIER CONSTRUCTORA, S.A. DE C.V. </v>
      </c>
      <c r="AA787" s="146" t="s">
        <v>5669</v>
      </c>
      <c r="AB787" s="1816" t="s">
        <v>5610</v>
      </c>
      <c r="AC787" s="1817" t="s">
        <v>4404</v>
      </c>
      <c r="AD787" s="148" t="s">
        <v>6574</v>
      </c>
      <c r="AE787" s="1818" t="str">
        <f>OBRA!Y785</f>
        <v>C. IMELDA KARINA PÉREZ GONZÁLEZ</v>
      </c>
      <c r="AF787" s="19">
        <v>3</v>
      </c>
      <c r="AG787" s="2" t="s">
        <v>6780</v>
      </c>
      <c r="AH787" s="184">
        <f t="shared" si="58"/>
        <v>2126.6666666666665</v>
      </c>
      <c r="AI787" s="511"/>
      <c r="AJ787" s="511"/>
      <c r="AK787" s="1991">
        <v>1</v>
      </c>
      <c r="AL787" s="626"/>
      <c r="AM787" s="1546"/>
      <c r="AN787" s="565"/>
      <c r="AO787" s="565"/>
      <c r="AP787" s="565"/>
      <c r="AQ787" s="507"/>
      <c r="AR787" s="507"/>
      <c r="AS787" s="512"/>
      <c r="AT787" s="507"/>
      <c r="AU787" s="507"/>
      <c r="AV787" s="507"/>
      <c r="AW787" s="507"/>
      <c r="AX787" s="507"/>
      <c r="AY787" s="507"/>
      <c r="AZ787" s="507"/>
      <c r="BA787" s="507"/>
      <c r="BB787" s="507"/>
      <c r="BC787" s="507"/>
      <c r="BD787" s="507"/>
      <c r="BE787" s="507"/>
      <c r="BF787" s="507"/>
      <c r="BG787" s="507"/>
      <c r="BH787" s="507"/>
      <c r="BI787" s="33"/>
      <c r="BJ787" s="12"/>
    </row>
    <row r="788" spans="1:62" ht="69.75" hidden="1" customHeight="1">
      <c r="A788" s="16">
        <f>OBRA!K786</f>
        <v>2024</v>
      </c>
      <c r="B788" s="781" t="s">
        <v>3947</v>
      </c>
      <c r="C788" s="781"/>
      <c r="D788" s="24"/>
      <c r="E788" s="2" t="str">
        <f>OBRA!N786</f>
        <v>CUENTA CORRIENTE</v>
      </c>
      <c r="F788" s="512"/>
      <c r="G788" s="156" t="s">
        <v>2864</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4754</v>
      </c>
      <c r="M788" s="173" t="s">
        <v>6729</v>
      </c>
      <c r="N788" s="3" t="str">
        <f>OBRA!R786</f>
        <v>CABECERA MUNICIPAL</v>
      </c>
      <c r="O788" s="505" t="s">
        <v>6773</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6790</v>
      </c>
      <c r="Z788" s="146" t="str">
        <f>OBRA!X786</f>
        <v xml:space="preserve">CICLOS GIP SC </v>
      </c>
      <c r="AA788" s="146" t="s">
        <v>5669</v>
      </c>
      <c r="AB788" s="1816" t="s">
        <v>4881</v>
      </c>
      <c r="AC788" s="1817" t="s">
        <v>4882</v>
      </c>
      <c r="AD788" s="1816" t="s">
        <v>4883</v>
      </c>
      <c r="AE788" s="1818" t="str">
        <f>OBRA!Y786</f>
        <v>C. IMELDA KARINA PÉREZ GONZÁLEZ</v>
      </c>
      <c r="AF788" s="19">
        <v>1</v>
      </c>
      <c r="AG788" s="2" t="s">
        <v>1573</v>
      </c>
      <c r="AH788" s="184">
        <f t="shared" si="58"/>
        <v>19720</v>
      </c>
      <c r="AI788" s="511"/>
      <c r="AJ788" s="511"/>
      <c r="AK788" s="1991">
        <v>1</v>
      </c>
      <c r="AL788" s="626"/>
      <c r="AM788" s="1546"/>
      <c r="AN788" s="565"/>
      <c r="AO788" s="565"/>
      <c r="AP788" s="565"/>
      <c r="AQ788" s="507"/>
      <c r="AR788" s="507"/>
      <c r="AS788" s="512"/>
      <c r="AT788" s="507"/>
      <c r="AU788" s="507"/>
      <c r="AV788" s="507"/>
      <c r="AW788" s="507"/>
      <c r="AX788" s="507"/>
      <c r="AY788" s="507"/>
      <c r="AZ788" s="507"/>
      <c r="BA788" s="507"/>
      <c r="BB788" s="507"/>
      <c r="BC788" s="507"/>
      <c r="BD788" s="507"/>
      <c r="BE788" s="507"/>
      <c r="BF788" s="507"/>
      <c r="BG788" s="507"/>
      <c r="BH788" s="507"/>
      <c r="BI788" s="33"/>
      <c r="BJ788" s="12"/>
    </row>
    <row r="789" spans="1:62" ht="288.75" hidden="1" customHeight="1">
      <c r="A789" s="16">
        <f>OBRA!K787</f>
        <v>2024</v>
      </c>
      <c r="B789" s="781" t="s">
        <v>3947</v>
      </c>
      <c r="C789" s="781"/>
      <c r="D789" s="24"/>
      <c r="E789" s="2" t="str">
        <f>OBRA!N787</f>
        <v>CUENTA CORRIENTE</v>
      </c>
      <c r="F789" s="512"/>
      <c r="G789" s="156" t="s">
        <v>2864</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6714</v>
      </c>
      <c r="M789" s="173" t="s">
        <v>6730</v>
      </c>
      <c r="N789" s="3" t="str">
        <f>OBRA!R787</f>
        <v>MPIO: CABECERA, SAN JUAN COSALÁ, HUEJOTITÁN Y EL MOLINO.</v>
      </c>
      <c r="O789" s="505" t="s">
        <v>6773</v>
      </c>
      <c r="P789" s="4">
        <f>OBRA!S787</f>
        <v>85747.199999999997</v>
      </c>
      <c r="Q789" s="1045">
        <f t="shared" si="59"/>
        <v>73920</v>
      </c>
      <c r="R789" s="1045" t="s">
        <v>6745</v>
      </c>
      <c r="S789" s="6">
        <f>OBRA!T787</f>
        <v>45456</v>
      </c>
      <c r="T789" s="1156">
        <f>OBRA!W787</f>
        <v>0</v>
      </c>
      <c r="U789" s="5">
        <f>OBRA!U787</f>
        <v>45460</v>
      </c>
      <c r="V789" s="11">
        <f>OBRA!V787</f>
        <v>45471</v>
      </c>
      <c r="W789" s="1557">
        <v>0</v>
      </c>
      <c r="X789" s="1119">
        <f>OBRA!AT787+OBRA!AU787</f>
        <v>0</v>
      </c>
      <c r="Y789" s="1040" t="s">
        <v>6790</v>
      </c>
      <c r="Z789" s="146" t="str">
        <f>OBRA!X787</f>
        <v>ECCOC DE GUADALAJARA, S.A. DE C.V.</v>
      </c>
      <c r="AA789" s="146" t="s">
        <v>5669</v>
      </c>
      <c r="AB789" s="1816" t="s">
        <v>4503</v>
      </c>
      <c r="AC789" s="1817" t="s">
        <v>4433</v>
      </c>
      <c r="AD789" s="1816" t="s">
        <v>6784</v>
      </c>
      <c r="AE789" s="1818" t="str">
        <f>OBRA!Y787</f>
        <v>C. IMELDA KARINA PÉREZ GONZÁLEZ</v>
      </c>
      <c r="AF789" s="19">
        <v>5</v>
      </c>
      <c r="AG789" s="2" t="s">
        <v>6780</v>
      </c>
      <c r="AH789" s="184">
        <f t="shared" si="58"/>
        <v>17149.439999999999</v>
      </c>
      <c r="AI789" s="511"/>
      <c r="AJ789" s="511"/>
      <c r="AK789" s="1991">
        <v>1</v>
      </c>
      <c r="AL789" s="626"/>
      <c r="AM789" s="1546"/>
      <c r="AN789" s="565"/>
      <c r="AO789" s="565"/>
      <c r="AP789" s="565"/>
      <c r="AQ789" s="507"/>
      <c r="AR789" s="507"/>
      <c r="AS789" s="512"/>
      <c r="AT789" s="507"/>
      <c r="AU789" s="507"/>
      <c r="AV789" s="507"/>
      <c r="AW789" s="507"/>
      <c r="AX789" s="507"/>
      <c r="AY789" s="507"/>
      <c r="AZ789" s="507"/>
      <c r="BA789" s="507"/>
      <c r="BB789" s="507"/>
      <c r="BC789" s="507"/>
      <c r="BD789" s="507"/>
      <c r="BE789" s="507"/>
      <c r="BF789" s="507"/>
      <c r="BG789" s="507"/>
      <c r="BH789" s="507"/>
      <c r="BI789" s="33"/>
      <c r="BJ789" s="12"/>
    </row>
    <row r="790" spans="1:62" ht="120.75" hidden="1" customHeight="1">
      <c r="A790" s="16">
        <f>OBRA!K788</f>
        <v>2024</v>
      </c>
      <c r="B790" s="781" t="s">
        <v>3947</v>
      </c>
      <c r="C790" s="781"/>
      <c r="D790" s="24"/>
      <c r="E790" s="2" t="str">
        <f>OBRA!N788</f>
        <v>CUENTA CORRIENTE</v>
      </c>
      <c r="F790" s="512"/>
      <c r="G790" s="156" t="s">
        <v>2864</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4754</v>
      </c>
      <c r="M790" s="173" t="s">
        <v>6717</v>
      </c>
      <c r="N790" s="3" t="str">
        <f>OBRA!R788</f>
        <v>SAN PEDRO TESISTÁN</v>
      </c>
      <c r="O790" s="505" t="s">
        <v>6773</v>
      </c>
      <c r="P790" s="4">
        <f>OBRA!S788</f>
        <v>39770</v>
      </c>
      <c r="Q790" s="1045">
        <f t="shared" si="59"/>
        <v>34284.482758620688</v>
      </c>
      <c r="R790" s="1045" t="s">
        <v>6745</v>
      </c>
      <c r="S790" s="6">
        <f>OBRA!T788</f>
        <v>45443</v>
      </c>
      <c r="T790" s="1156">
        <f>OBRA!W788</f>
        <v>0</v>
      </c>
      <c r="U790" s="5">
        <f>OBRA!U788</f>
        <v>45444</v>
      </c>
      <c r="V790" s="11">
        <f>OBRA!V788</f>
        <v>45451</v>
      </c>
      <c r="W790" s="1557">
        <v>0</v>
      </c>
      <c r="X790" s="1119">
        <f>OBRA!AT788+OBRA!AU788</f>
        <v>0</v>
      </c>
      <c r="Y790" s="1040" t="s">
        <v>6790</v>
      </c>
      <c r="Z790" s="146" t="str">
        <f>OBRA!X788</f>
        <v>ING. MARCO ANTONIO PAREDES RODRÍGUEZ</v>
      </c>
      <c r="AA790" s="146" t="s">
        <v>5668</v>
      </c>
      <c r="AB790" s="1816" t="s">
        <v>3745</v>
      </c>
      <c r="AC790" s="146" t="s">
        <v>4295</v>
      </c>
      <c r="AD790" s="148" t="s">
        <v>6571</v>
      </c>
      <c r="AE790" s="1818" t="str">
        <f>OBRA!Y788</f>
        <v>ING. LUIS RIGOBERTO OLMEDO NAVARRO</v>
      </c>
      <c r="AF790" s="19">
        <v>1</v>
      </c>
      <c r="AG790" s="2" t="s">
        <v>1573</v>
      </c>
      <c r="AH790" s="184">
        <f t="shared" si="58"/>
        <v>39770</v>
      </c>
      <c r="AI790" s="511"/>
      <c r="AJ790" s="511"/>
      <c r="AK790" s="1991">
        <v>1</v>
      </c>
      <c r="AL790" s="626"/>
      <c r="AM790" s="1546"/>
      <c r="AN790" s="565"/>
      <c r="AO790" s="565"/>
      <c r="AP790" s="565"/>
      <c r="AQ790" s="507"/>
      <c r="AR790" s="507"/>
      <c r="AS790" s="512"/>
      <c r="AT790" s="507"/>
      <c r="AU790" s="507"/>
      <c r="AV790" s="507"/>
      <c r="AW790" s="507"/>
      <c r="AX790" s="507"/>
      <c r="AY790" s="507"/>
      <c r="AZ790" s="507"/>
      <c r="BA790" s="507"/>
      <c r="BB790" s="507"/>
      <c r="BC790" s="507"/>
      <c r="BD790" s="507"/>
      <c r="BE790" s="507"/>
      <c r="BF790" s="507"/>
      <c r="BG790" s="507"/>
      <c r="BH790" s="507"/>
      <c r="BI790" s="33"/>
      <c r="BJ790" s="12"/>
    </row>
    <row r="791" spans="1:62" ht="90" hidden="1" customHeight="1">
      <c r="A791" s="16">
        <f>OBRA!K789</f>
        <v>2024</v>
      </c>
      <c r="B791" s="781" t="s">
        <v>3947</v>
      </c>
      <c r="C791" s="781"/>
      <c r="D791" s="24"/>
      <c r="E791" s="2" t="str">
        <f>OBRA!N789</f>
        <v>CUENTA CORRIENTE</v>
      </c>
      <c r="F791" s="512"/>
      <c r="G791" s="156" t="s">
        <v>2864</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4754</v>
      </c>
      <c r="M791" s="173" t="s">
        <v>6717</v>
      </c>
      <c r="N791" s="3" t="str">
        <f>OBRA!R789</f>
        <v>SAN PEDRO TESISTÁN</v>
      </c>
      <c r="O791" s="505" t="s">
        <v>6773</v>
      </c>
      <c r="P791" s="4">
        <f>OBRA!S789</f>
        <v>46080</v>
      </c>
      <c r="Q791" s="1045">
        <f t="shared" si="59"/>
        <v>39724.137931034486</v>
      </c>
      <c r="R791" s="1045" t="s">
        <v>6745</v>
      </c>
      <c r="S791" s="6">
        <f>OBRA!T789</f>
        <v>45450</v>
      </c>
      <c r="T791" s="1156">
        <f>OBRA!W789</f>
        <v>0</v>
      </c>
      <c r="U791" s="5">
        <f>OBRA!U789</f>
        <v>45452</v>
      </c>
      <c r="V791" s="11">
        <f>OBRA!V789</f>
        <v>45463</v>
      </c>
      <c r="W791" s="1557">
        <v>0</v>
      </c>
      <c r="X791" s="1119">
        <f>OBRA!AT789+OBRA!AU789</f>
        <v>0</v>
      </c>
      <c r="Y791" s="1040" t="s">
        <v>6790</v>
      </c>
      <c r="Z791" s="146" t="str">
        <f>OBRA!X789</f>
        <v>ING. MARCO ANTONIO PAREDES RODRÍGUEZ</v>
      </c>
      <c r="AA791" s="146" t="s">
        <v>5668</v>
      </c>
      <c r="AB791" s="1816" t="s">
        <v>3745</v>
      </c>
      <c r="AC791" s="146" t="s">
        <v>4295</v>
      </c>
      <c r="AD791" s="148" t="s">
        <v>6571</v>
      </c>
      <c r="AE791" s="1818" t="str">
        <f>OBRA!Y789</f>
        <v>ING. LUIS RIGOBERTO OLMEDO NAVARRO</v>
      </c>
      <c r="AF791" s="19">
        <v>1</v>
      </c>
      <c r="AG791" s="2" t="s">
        <v>1573</v>
      </c>
      <c r="AH791" s="184">
        <f t="shared" si="58"/>
        <v>46080</v>
      </c>
      <c r="AI791" s="511"/>
      <c r="AJ791" s="511"/>
      <c r="AK791" s="1991">
        <v>1</v>
      </c>
      <c r="AL791" s="626"/>
      <c r="AM791" s="1546"/>
      <c r="AN791" s="565"/>
      <c r="AO791" s="565"/>
      <c r="AP791" s="565"/>
      <c r="AQ791" s="507"/>
      <c r="AR791" s="507"/>
      <c r="AS791" s="512"/>
      <c r="AT791" s="507"/>
      <c r="AU791" s="507"/>
      <c r="AV791" s="507"/>
      <c r="AW791" s="507"/>
      <c r="AX791" s="507"/>
      <c r="AY791" s="507"/>
      <c r="AZ791" s="507"/>
      <c r="BA791" s="507"/>
      <c r="BB791" s="507"/>
      <c r="BC791" s="507"/>
      <c r="BD791" s="507"/>
      <c r="BE791" s="507"/>
      <c r="BF791" s="507"/>
      <c r="BG791" s="507"/>
      <c r="BH791" s="507"/>
      <c r="BI791" s="33"/>
      <c r="BJ791" s="12"/>
    </row>
    <row r="792" spans="1:62" ht="105.75" hidden="1" customHeight="1">
      <c r="A792" s="16">
        <f>OBRA!K790</f>
        <v>2024</v>
      </c>
      <c r="B792" s="781" t="s">
        <v>3947</v>
      </c>
      <c r="C792" s="781"/>
      <c r="D792" s="24"/>
      <c r="E792" s="2" t="str">
        <f>OBRA!N790</f>
        <v>CUENTA CORRIENTE</v>
      </c>
      <c r="F792" s="512"/>
      <c r="G792" s="156" t="s">
        <v>2864</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6732</v>
      </c>
      <c r="N792" s="3" t="str">
        <f>OBRA!R790</f>
        <v>CABECERA MUNICIPAL</v>
      </c>
      <c r="O792" s="505" t="s">
        <v>6773</v>
      </c>
      <c r="P792" s="4">
        <f>OBRA!S790</f>
        <v>30159.999999999996</v>
      </c>
      <c r="Q792" s="1045">
        <f t="shared" si="59"/>
        <v>26000</v>
      </c>
      <c r="R792" s="1045" t="s">
        <v>6745</v>
      </c>
      <c r="S792" s="6">
        <f>OBRA!T790</f>
        <v>45469</v>
      </c>
      <c r="T792" s="1156">
        <f>OBRA!W790</f>
        <v>0</v>
      </c>
      <c r="U792" s="5">
        <f>OBRA!U790</f>
        <v>45470</v>
      </c>
      <c r="V792" s="11">
        <f>OBRA!V790</f>
        <v>45474</v>
      </c>
      <c r="W792" s="1557">
        <v>0</v>
      </c>
      <c r="X792" s="1119">
        <f>OBRA!AT790+OBRA!AU790</f>
        <v>0</v>
      </c>
      <c r="Y792" s="1040" t="s">
        <v>6790</v>
      </c>
      <c r="Z792" s="146" t="str">
        <f>OBRA!X790</f>
        <v>PEDRO MORALES HERNÁNDEZ</v>
      </c>
      <c r="AA792" s="146" t="s">
        <v>5668</v>
      </c>
      <c r="AB792" s="148" t="str">
        <f>Z792</f>
        <v>PEDRO MORALES HERNÁNDEZ</v>
      </c>
      <c r="AC792" s="146" t="s">
        <v>4433</v>
      </c>
      <c r="AD792" s="148" t="s">
        <v>4434</v>
      </c>
      <c r="AE792" s="1818" t="str">
        <f>OBRA!Y790</f>
        <v>C. DANIEL RODRIGUEZ VALENZUELA</v>
      </c>
      <c r="AF792" s="19">
        <v>3</v>
      </c>
      <c r="AG792" s="2" t="s">
        <v>6780</v>
      </c>
      <c r="AH792" s="184">
        <f t="shared" si="58"/>
        <v>10053.333333333332</v>
      </c>
      <c r="AI792" s="511"/>
      <c r="AJ792" s="511"/>
      <c r="AK792" s="1991">
        <v>1</v>
      </c>
      <c r="AL792" s="626"/>
      <c r="AM792" s="1546"/>
      <c r="AN792" s="565"/>
      <c r="AO792" s="565"/>
      <c r="AP792" s="565"/>
      <c r="AQ792" s="507"/>
      <c r="AR792" s="507"/>
      <c r="AS792" s="512"/>
      <c r="AT792" s="507"/>
      <c r="AU792" s="507"/>
      <c r="AV792" s="507"/>
      <c r="AW792" s="507"/>
      <c r="AX792" s="507"/>
      <c r="AY792" s="507"/>
      <c r="AZ792" s="507"/>
      <c r="BA792" s="507"/>
      <c r="BB792" s="507"/>
      <c r="BC792" s="507"/>
      <c r="BD792" s="507"/>
      <c r="BE792" s="507"/>
      <c r="BF792" s="507"/>
      <c r="BG792" s="507"/>
      <c r="BH792" s="507"/>
      <c r="BI792" s="33"/>
      <c r="BJ792" s="12"/>
    </row>
    <row r="793" spans="1:62" ht="96.75" hidden="1" customHeight="1">
      <c r="A793" s="16">
        <f>OBRA!K791</f>
        <v>2024</v>
      </c>
      <c r="B793" s="781" t="s">
        <v>3947</v>
      </c>
      <c r="C793" s="781"/>
      <c r="D793" s="24"/>
      <c r="E793" s="2" t="str">
        <f>OBRA!N791</f>
        <v>CUENTA CORRIENTE</v>
      </c>
      <c r="F793" s="512"/>
      <c r="G793" s="156" t="s">
        <v>2864</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4754</v>
      </c>
      <c r="M793" s="173" t="s">
        <v>6717</v>
      </c>
      <c r="N793" s="3" t="str">
        <f>OBRA!R791</f>
        <v>SAN PEDRO TESISTÁN</v>
      </c>
      <c r="O793" s="505" t="s">
        <v>6774</v>
      </c>
      <c r="P793" s="4">
        <f>OBRA!S791</f>
        <v>31180.799999999999</v>
      </c>
      <c r="Q793" s="1045">
        <f t="shared" ref="Q793:Q798" si="60">P793/1.16</f>
        <v>26880</v>
      </c>
      <c r="R793" s="1045" t="s">
        <v>6745</v>
      </c>
      <c r="S793" s="6">
        <f>OBRA!T791</f>
        <v>45463</v>
      </c>
      <c r="T793" s="1156">
        <f>OBRA!W791</f>
        <v>0</v>
      </c>
      <c r="U793" s="5">
        <f>OBRA!U791</f>
        <v>45464</v>
      </c>
      <c r="V793" s="11">
        <f>OBRA!V791</f>
        <v>45470</v>
      </c>
      <c r="W793" s="1557">
        <v>0</v>
      </c>
      <c r="X793" s="1119">
        <f>OBRA!AT791+OBRA!AU791</f>
        <v>0</v>
      </c>
      <c r="Y793" s="1040" t="s">
        <v>6790</v>
      </c>
      <c r="Z793" s="146" t="str">
        <f>OBRA!X791</f>
        <v>ING. MARCO ANTONIO PAREDES RODRÍGUEZ</v>
      </c>
      <c r="AA793" s="146" t="s">
        <v>5668</v>
      </c>
      <c r="AB793" s="1816" t="s">
        <v>3745</v>
      </c>
      <c r="AC793" s="146" t="s">
        <v>4295</v>
      </c>
      <c r="AD793" s="148" t="s">
        <v>6571</v>
      </c>
      <c r="AE793" s="1818" t="str">
        <f>OBRA!Y791</f>
        <v>ING. LUIS RIGOBERTO OLMEDO NAVARRO</v>
      </c>
      <c r="AF793" s="19">
        <v>1</v>
      </c>
      <c r="AG793" s="2" t="s">
        <v>1573</v>
      </c>
      <c r="AH793" s="184">
        <f t="shared" si="58"/>
        <v>31180.799999999999</v>
      </c>
      <c r="AI793" s="511"/>
      <c r="AJ793" s="511"/>
      <c r="AK793" s="1991">
        <v>1</v>
      </c>
      <c r="AL793" s="626"/>
      <c r="AM793" s="1546"/>
      <c r="AN793" s="565"/>
      <c r="AO793" s="565"/>
      <c r="AP793" s="565"/>
      <c r="AQ793" s="507"/>
      <c r="AR793" s="507"/>
      <c r="AS793" s="512"/>
      <c r="AT793" s="507"/>
      <c r="AU793" s="507"/>
      <c r="AV793" s="507"/>
      <c r="AW793" s="507"/>
      <c r="AX793" s="507"/>
      <c r="AY793" s="507"/>
      <c r="AZ793" s="507"/>
      <c r="BA793" s="507"/>
      <c r="BB793" s="507"/>
      <c r="BC793" s="507"/>
      <c r="BD793" s="507"/>
      <c r="BE793" s="507"/>
      <c r="BF793" s="507"/>
      <c r="BG793" s="507"/>
      <c r="BH793" s="507"/>
      <c r="BI793" s="33"/>
      <c r="BJ793" s="12"/>
    </row>
    <row r="794" spans="1:62" ht="140.25" hidden="1" customHeight="1">
      <c r="A794" s="16">
        <f>OBRA!K792</f>
        <v>2024</v>
      </c>
      <c r="B794" s="781" t="s">
        <v>3947</v>
      </c>
      <c r="C794" s="781"/>
      <c r="D794" s="24"/>
      <c r="E794" s="2" t="str">
        <f>OBRA!N792</f>
        <v>CUENTA CORRIENTE</v>
      </c>
      <c r="F794" s="512"/>
      <c r="G794" s="156" t="s">
        <v>2864</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6712</v>
      </c>
      <c r="M794" s="173" t="s">
        <v>2002</v>
      </c>
      <c r="N794" s="3" t="str">
        <f>OBRA!R792</f>
        <v>CABECERA MUNICIPAL</v>
      </c>
      <c r="O794" s="505" t="s">
        <v>6774</v>
      </c>
      <c r="P794" s="4">
        <f>OBRA!S792</f>
        <v>205842</v>
      </c>
      <c r="Q794" s="1045">
        <f t="shared" si="60"/>
        <v>177450</v>
      </c>
      <c r="R794" s="1045" t="s">
        <v>67</v>
      </c>
      <c r="S794" s="6">
        <f>OBRA!T792</f>
        <v>45502</v>
      </c>
      <c r="T794" s="1156">
        <f>OBRA!W792</f>
        <v>0</v>
      </c>
      <c r="U794" s="5">
        <f>OBRA!U792</f>
        <v>45503</v>
      </c>
      <c r="V794" s="11">
        <f>OBRA!V792</f>
        <v>45517</v>
      </c>
      <c r="W794" s="1557">
        <v>0</v>
      </c>
      <c r="X794" s="1119">
        <f>OBRA!AT792+OBRA!AU792</f>
        <v>0</v>
      </c>
      <c r="Y794" s="1040" t="s">
        <v>6790</v>
      </c>
      <c r="Z794" s="146" t="str">
        <f>OBRA!X792</f>
        <v>C. CESAR EDUARDO LOMELÍ VALDÉZ</v>
      </c>
      <c r="AA794" s="146" t="s">
        <v>5668</v>
      </c>
      <c r="AB794" s="148" t="s">
        <v>6756</v>
      </c>
      <c r="AC794" s="146" t="s">
        <v>6757</v>
      </c>
      <c r="AD794" s="148" t="s">
        <v>6758</v>
      </c>
      <c r="AE794" s="1818" t="str">
        <f>OBRA!Y792</f>
        <v>ARQ. JAIME CONDE GOMEZ</v>
      </c>
      <c r="AF794" s="19">
        <v>1</v>
      </c>
      <c r="AG794" s="2" t="s">
        <v>1573</v>
      </c>
      <c r="AH794" s="184">
        <f t="shared" si="58"/>
        <v>205842</v>
      </c>
      <c r="AI794" s="511"/>
      <c r="AJ794" s="511"/>
      <c r="AK794" s="1991">
        <v>1</v>
      </c>
      <c r="AL794" s="626"/>
      <c r="AM794" s="1546"/>
      <c r="AN794" s="565"/>
      <c r="AO794" s="565"/>
      <c r="AP794" s="565"/>
      <c r="AQ794" s="507"/>
      <c r="AR794" s="507"/>
      <c r="AS794" s="512"/>
      <c r="AT794" s="507"/>
      <c r="AU794" s="507"/>
      <c r="AV794" s="507"/>
      <c r="AW794" s="507"/>
      <c r="AX794" s="507"/>
      <c r="AY794" s="507"/>
      <c r="AZ794" s="507"/>
      <c r="BA794" s="507"/>
      <c r="BB794" s="507"/>
      <c r="BC794" s="507"/>
      <c r="BD794" s="507"/>
      <c r="BE794" s="507"/>
      <c r="BF794" s="507"/>
      <c r="BG794" s="507"/>
      <c r="BH794" s="507"/>
      <c r="BI794" s="33"/>
      <c r="BJ794" s="12"/>
    </row>
    <row r="795" spans="1:62" ht="97.5" hidden="1" customHeight="1">
      <c r="A795" s="16">
        <f>OBRA!K793</f>
        <v>2024</v>
      </c>
      <c r="B795" s="781" t="s">
        <v>3947</v>
      </c>
      <c r="C795" s="781"/>
      <c r="D795" s="24"/>
      <c r="E795" s="2" t="str">
        <f>OBRA!N793</f>
        <v>CUENTA CORRIENTE</v>
      </c>
      <c r="F795" s="512"/>
      <c r="G795" s="156" t="s">
        <v>2864</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6712</v>
      </c>
      <c r="M795" s="173" t="s">
        <v>4825</v>
      </c>
      <c r="N795" s="3" t="str">
        <f>OBRA!R793</f>
        <v>SAN JUAN COSALÁ</v>
      </c>
      <c r="O795" s="505" t="s">
        <v>6774</v>
      </c>
      <c r="P795" s="4">
        <f>OBRA!S793</f>
        <v>28419.999999999996</v>
      </c>
      <c r="Q795" s="1045">
        <f t="shared" si="60"/>
        <v>24500</v>
      </c>
      <c r="R795" s="1045" t="s">
        <v>67</v>
      </c>
      <c r="S795" s="6">
        <f>OBRA!T793</f>
        <v>45520</v>
      </c>
      <c r="T795" s="1156">
        <f>OBRA!W793</f>
        <v>0</v>
      </c>
      <c r="U795" s="5">
        <f>OBRA!U793</f>
        <v>45524</v>
      </c>
      <c r="V795" s="11">
        <f>OBRA!V793</f>
        <v>45530</v>
      </c>
      <c r="W795" s="1557">
        <v>0</v>
      </c>
      <c r="X795" s="1119">
        <f>OBRA!AT793+OBRA!AU793</f>
        <v>0</v>
      </c>
      <c r="Y795" s="1040" t="s">
        <v>6790</v>
      </c>
      <c r="Z795" s="146" t="str">
        <f>OBRA!X793</f>
        <v>C. CESAR EDUARDO LOMELÍ VALDÉZ</v>
      </c>
      <c r="AA795" s="146" t="s">
        <v>5668</v>
      </c>
      <c r="AB795" s="148" t="s">
        <v>6756</v>
      </c>
      <c r="AC795" s="146" t="s">
        <v>6757</v>
      </c>
      <c r="AD795" s="148" t="s">
        <v>6758</v>
      </c>
      <c r="AE795" s="1818" t="str">
        <f>OBRA!Y793</f>
        <v>C. IMELDA KARINA PÉREZ GONZÁLEZ</v>
      </c>
      <c r="AF795" s="19">
        <v>1</v>
      </c>
      <c r="AG795" s="2" t="s">
        <v>1573</v>
      </c>
      <c r="AH795" s="184">
        <f t="shared" si="58"/>
        <v>28419.999999999996</v>
      </c>
      <c r="AI795" s="511"/>
      <c r="AJ795" s="511"/>
      <c r="AK795" s="1991">
        <v>1</v>
      </c>
      <c r="AL795" s="626"/>
      <c r="AM795" s="1546"/>
      <c r="AN795" s="565"/>
      <c r="AO795" s="565"/>
      <c r="AP795" s="565"/>
      <c r="AQ795" s="507"/>
      <c r="AR795" s="507"/>
      <c r="AS795" s="512"/>
      <c r="AT795" s="507"/>
      <c r="AU795" s="507"/>
      <c r="AV795" s="507"/>
      <c r="AW795" s="507"/>
      <c r="AX795" s="507"/>
      <c r="AY795" s="507"/>
      <c r="AZ795" s="507"/>
      <c r="BA795" s="507"/>
      <c r="BB795" s="507"/>
      <c r="BC795" s="507"/>
      <c r="BD795" s="507"/>
      <c r="BE795" s="507"/>
      <c r="BF795" s="507"/>
      <c r="BG795" s="507"/>
      <c r="BH795" s="507"/>
      <c r="BI795" s="33"/>
      <c r="BJ795" s="12"/>
    </row>
    <row r="796" spans="1:62" ht="73.5" hidden="1" customHeight="1">
      <c r="A796" s="16">
        <f>OBRA!K794</f>
        <v>2024</v>
      </c>
      <c r="B796" s="781" t="s">
        <v>3947</v>
      </c>
      <c r="C796" s="781"/>
      <c r="D796" s="24"/>
      <c r="E796" s="2" t="str">
        <f>OBRA!N794</f>
        <v>CUENTA CORRIENTE</v>
      </c>
      <c r="F796" s="512"/>
      <c r="G796" s="156" t="s">
        <v>2864</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4755</v>
      </c>
      <c r="M796" s="173" t="s">
        <v>6733</v>
      </c>
      <c r="N796" s="3" t="str">
        <f>OBRA!R794</f>
        <v>CABECERA MUNICIPAL</v>
      </c>
      <c r="O796" s="505" t="s">
        <v>6774</v>
      </c>
      <c r="P796" s="4">
        <f>OBRA!S794</f>
        <v>13919.999999999998</v>
      </c>
      <c r="Q796" s="1045">
        <f t="shared" si="60"/>
        <v>12000</v>
      </c>
      <c r="R796" s="1045" t="s">
        <v>67</v>
      </c>
      <c r="S796" s="6">
        <f>OBRA!T794</f>
        <v>45520</v>
      </c>
      <c r="T796" s="1156">
        <f>OBRA!W794</f>
        <v>0</v>
      </c>
      <c r="U796" s="5">
        <f>OBRA!U794</f>
        <v>45523</v>
      </c>
      <c r="V796" s="11">
        <f>OBRA!V794</f>
        <v>45524</v>
      </c>
      <c r="W796" s="1557">
        <v>0</v>
      </c>
      <c r="X796" s="1119">
        <f>OBRA!AT794+OBRA!AU794</f>
        <v>0</v>
      </c>
      <c r="Y796" s="1040" t="s">
        <v>6790</v>
      </c>
      <c r="Z796" s="146" t="str">
        <f>OBRA!X794</f>
        <v>ECCOC DE GUADALAJARA, S.A. DE C.V.</v>
      </c>
      <c r="AA796" s="146"/>
      <c r="AB796" s="1816" t="s">
        <v>4503</v>
      </c>
      <c r="AC796" s="1817" t="s">
        <v>4433</v>
      </c>
      <c r="AD796" s="1816" t="s">
        <v>6784</v>
      </c>
      <c r="AE796" s="1818" t="str">
        <f>OBRA!Y794</f>
        <v>C. IMELDA KARINA PÉREZ GONZÁLEZ</v>
      </c>
      <c r="AF796" s="19">
        <v>1</v>
      </c>
      <c r="AG796" s="2" t="s">
        <v>6780</v>
      </c>
      <c r="AH796" s="184">
        <f t="shared" si="58"/>
        <v>13919.999999999998</v>
      </c>
      <c r="AI796" s="511"/>
      <c r="AJ796" s="511"/>
      <c r="AK796" s="1991">
        <v>1</v>
      </c>
      <c r="AL796" s="626"/>
      <c r="AM796" s="1546"/>
      <c r="AN796" s="565"/>
      <c r="AO796" s="565"/>
      <c r="AP796" s="565"/>
      <c r="AQ796" s="507"/>
      <c r="AR796" s="507"/>
      <c r="AS796" s="512"/>
      <c r="AT796" s="507"/>
      <c r="AU796" s="507"/>
      <c r="AV796" s="507"/>
      <c r="AW796" s="507"/>
      <c r="AX796" s="507"/>
      <c r="AY796" s="507"/>
      <c r="AZ796" s="507"/>
      <c r="BA796" s="507"/>
      <c r="BB796" s="507"/>
      <c r="BC796" s="507"/>
      <c r="BD796" s="507"/>
      <c r="BE796" s="507"/>
      <c r="BF796" s="507"/>
      <c r="BG796" s="507"/>
      <c r="BH796" s="507"/>
      <c r="BI796" s="33"/>
      <c r="BJ796" s="12"/>
    </row>
    <row r="797" spans="1:62" ht="123" hidden="1" customHeight="1">
      <c r="A797" s="16">
        <f>OBRA!K795</f>
        <v>2024</v>
      </c>
      <c r="B797" s="781" t="s">
        <v>3947</v>
      </c>
      <c r="C797" s="781"/>
      <c r="D797" s="24"/>
      <c r="E797" s="2" t="str">
        <f>OBRA!N795</f>
        <v>CUENTA CORRIENTE</v>
      </c>
      <c r="F797" s="512"/>
      <c r="G797" s="156" t="s">
        <v>2864</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4754</v>
      </c>
      <c r="M797" s="173" t="s">
        <v>6717</v>
      </c>
      <c r="N797" s="3" t="str">
        <f>OBRA!R795</f>
        <v>SAN PEDRO TESISTÁN</v>
      </c>
      <c r="O797" s="505" t="s">
        <v>6774</v>
      </c>
      <c r="P797" s="4">
        <f>OBRA!S795</f>
        <v>32479.999999999996</v>
      </c>
      <c r="Q797" s="1045">
        <f t="shared" si="60"/>
        <v>28000</v>
      </c>
      <c r="R797" s="1045" t="s">
        <v>67</v>
      </c>
      <c r="S797" s="6">
        <f>OBRA!T795</f>
        <v>45533</v>
      </c>
      <c r="T797" s="1156">
        <f>OBRA!W795</f>
        <v>0</v>
      </c>
      <c r="U797" s="5">
        <f>OBRA!U795</f>
        <v>45537</v>
      </c>
      <c r="V797" s="11">
        <f>OBRA!V795</f>
        <v>45538</v>
      </c>
      <c r="W797" s="1557">
        <v>0</v>
      </c>
      <c r="X797" s="1119">
        <f>OBRA!AT795+OBRA!AU795</f>
        <v>0</v>
      </c>
      <c r="Y797" s="1040" t="s">
        <v>6790</v>
      </c>
      <c r="Z797" s="146" t="str">
        <f>OBRA!X795</f>
        <v>ING. MARCO ANTONIO PAREDES RODRÍGUEZ</v>
      </c>
      <c r="AA797" s="146" t="s">
        <v>5668</v>
      </c>
      <c r="AB797" s="1816" t="s">
        <v>3745</v>
      </c>
      <c r="AC797" s="146" t="s">
        <v>4295</v>
      </c>
      <c r="AD797" s="148" t="s">
        <v>6571</v>
      </c>
      <c r="AE797" s="1818" t="str">
        <f>OBRA!Y795</f>
        <v>C. IMELDA KARINA PÉREZ GONZÁLEZ</v>
      </c>
      <c r="AF797" s="19">
        <v>1</v>
      </c>
      <c r="AG797" s="2" t="s">
        <v>6780</v>
      </c>
      <c r="AH797" s="184">
        <f t="shared" si="58"/>
        <v>32479.999999999996</v>
      </c>
      <c r="AI797" s="511"/>
      <c r="AJ797" s="511"/>
      <c r="AK797" s="511"/>
      <c r="AL797" s="626"/>
      <c r="AM797" s="1546"/>
      <c r="AN797" s="565"/>
      <c r="AO797" s="565"/>
      <c r="AP797" s="565"/>
      <c r="AQ797" s="507"/>
      <c r="AR797" s="507"/>
      <c r="AS797" s="512"/>
      <c r="AT797" s="507"/>
      <c r="AU797" s="507"/>
      <c r="AV797" s="507"/>
      <c r="AW797" s="507"/>
      <c r="AX797" s="507"/>
      <c r="AY797" s="507"/>
      <c r="AZ797" s="507"/>
      <c r="BA797" s="507"/>
      <c r="BB797" s="507"/>
      <c r="BC797" s="507"/>
      <c r="BD797" s="507"/>
      <c r="BE797" s="507"/>
      <c r="BF797" s="507"/>
      <c r="BG797" s="507"/>
      <c r="BH797" s="507"/>
      <c r="BI797" s="33"/>
      <c r="BJ797" s="12"/>
    </row>
    <row r="798" spans="1:62" ht="130.5" hidden="1" customHeight="1">
      <c r="A798" s="16">
        <f>OBRA!K796</f>
        <v>2024</v>
      </c>
      <c r="B798" s="781" t="s">
        <v>3947</v>
      </c>
      <c r="C798" s="781"/>
      <c r="D798" s="24"/>
      <c r="E798" s="2" t="str">
        <f>OBRA!N796</f>
        <v>CUENTA CORRIENTE</v>
      </c>
      <c r="F798" s="512"/>
      <c r="G798" s="156" t="s">
        <v>2864</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4754</v>
      </c>
      <c r="M798" s="173" t="s">
        <v>4802</v>
      </c>
      <c r="N798" s="3" t="str">
        <f>OBRA!R796</f>
        <v>CABECERA MUNICIPAL</v>
      </c>
      <c r="O798" s="505" t="s">
        <v>6774</v>
      </c>
      <c r="P798" s="4">
        <f>OBRA!S796</f>
        <v>30125.199999999997</v>
      </c>
      <c r="Q798" s="1045">
        <f t="shared" si="60"/>
        <v>25970</v>
      </c>
      <c r="R798" s="1045" t="s">
        <v>67</v>
      </c>
      <c r="S798" s="6">
        <f>OBRA!T796</f>
        <v>45533</v>
      </c>
      <c r="T798" s="1156">
        <f>OBRA!W796</f>
        <v>0</v>
      </c>
      <c r="U798" s="5">
        <f>OBRA!U796</f>
        <v>45539</v>
      </c>
      <c r="V798" s="11">
        <f>OBRA!V796</f>
        <v>45540</v>
      </c>
      <c r="W798" s="1557">
        <v>0</v>
      </c>
      <c r="X798" s="1119">
        <f>OBRA!AT796+OBRA!AU796</f>
        <v>0</v>
      </c>
      <c r="Y798" s="1040" t="s">
        <v>6790</v>
      </c>
      <c r="Z798" s="146" t="str">
        <f>OBRA!X796</f>
        <v>ING. MARCO ANTONIO PAREDES RODRÍGUEZ</v>
      </c>
      <c r="AA798" s="146" t="s">
        <v>5668</v>
      </c>
      <c r="AB798" s="1816" t="s">
        <v>3745</v>
      </c>
      <c r="AC798" s="146" t="s">
        <v>4295</v>
      </c>
      <c r="AD798" s="148" t="s">
        <v>6571</v>
      </c>
      <c r="AE798" s="1818" t="str">
        <f>OBRA!Y796</f>
        <v>C. IMELDA KARINA PÉREZ GONZÁLEZ</v>
      </c>
      <c r="AF798" s="19">
        <v>1</v>
      </c>
      <c r="AG798" s="2" t="s">
        <v>6780</v>
      </c>
      <c r="AH798" s="184">
        <f t="shared" si="58"/>
        <v>30125.199999999997</v>
      </c>
      <c r="AI798" s="511"/>
      <c r="AJ798" s="511"/>
      <c r="AK798" s="511"/>
      <c r="AL798" s="626"/>
      <c r="AM798" s="1546"/>
      <c r="AN798" s="565"/>
      <c r="AO798" s="565"/>
      <c r="AP798" s="565"/>
      <c r="AQ798" s="507"/>
      <c r="AR798" s="507"/>
      <c r="AS798" s="512"/>
      <c r="AT798" s="507"/>
      <c r="AU798" s="507"/>
      <c r="AV798" s="507"/>
      <c r="AW798" s="507"/>
      <c r="AX798" s="507"/>
      <c r="AY798" s="507"/>
      <c r="AZ798" s="507"/>
      <c r="BA798" s="507"/>
      <c r="BB798" s="507"/>
      <c r="BC798" s="507"/>
      <c r="BD798" s="507"/>
      <c r="BE798" s="507"/>
      <c r="BF798" s="507"/>
      <c r="BG798" s="507"/>
      <c r="BH798" s="507"/>
      <c r="BI798" s="33"/>
      <c r="BJ798" s="12"/>
    </row>
    <row r="799" spans="1:62" ht="87" hidden="1" customHeight="1">
      <c r="A799" s="16">
        <f>OBRA!K797</f>
        <v>2024</v>
      </c>
      <c r="B799" s="781" t="s">
        <v>3947</v>
      </c>
      <c r="C799" s="781">
        <f>OBRA!L797</f>
        <v>243001</v>
      </c>
      <c r="D799" s="24" t="s">
        <v>2313</v>
      </c>
      <c r="E799" s="2" t="str">
        <f>OBRA!N797</f>
        <v>CUENTA CORRIENTE</v>
      </c>
      <c r="F799" s="512"/>
      <c r="G799" s="156" t="s">
        <v>2864</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4809</v>
      </c>
      <c r="M799" s="173" t="s">
        <v>4809</v>
      </c>
      <c r="N799" s="3" t="str">
        <f>OBRA!R797</f>
        <v>SAN JUAN COSALÁ</v>
      </c>
      <c r="O799" s="505" t="s">
        <v>6775</v>
      </c>
      <c r="P799" s="4">
        <f>OBRA!S797</f>
        <v>3943.9999999999995</v>
      </c>
      <c r="Q799" s="1045">
        <f t="shared" si="57"/>
        <v>3400</v>
      </c>
      <c r="R799" s="1045" t="s">
        <v>2297</v>
      </c>
      <c r="S799" s="6">
        <f>OBRA!T797</f>
        <v>45341</v>
      </c>
      <c r="T799" s="1156">
        <f>OBRA!W797</f>
        <v>0</v>
      </c>
      <c r="U799" s="5">
        <f>OBRA!U797</f>
        <v>45343</v>
      </c>
      <c r="V799" s="11">
        <f>OBRA!V797</f>
        <v>45349</v>
      </c>
      <c r="W799" s="1557">
        <v>0</v>
      </c>
      <c r="X799" s="1119">
        <f>OBRA!AT797+OBRA!AU797</f>
        <v>0</v>
      </c>
      <c r="Y799" s="1040" t="s">
        <v>6791</v>
      </c>
      <c r="Z799" s="146" t="str">
        <f>OBRA!X797</f>
        <v>ING. SERGIO CABRERA</v>
      </c>
      <c r="AA799" s="146" t="s">
        <v>5668</v>
      </c>
      <c r="AB799" s="1816" t="s">
        <v>4447</v>
      </c>
      <c r="AC799" s="146" t="s">
        <v>1922</v>
      </c>
      <c r="AD799" s="148" t="s">
        <v>6049</v>
      </c>
      <c r="AE799" s="1818" t="str">
        <f>OBRA!Y797</f>
        <v>ING. LUIS RIGOBERTO OLMEDO NAVARRO</v>
      </c>
      <c r="AF799" s="19">
        <v>2</v>
      </c>
      <c r="AG799" s="2" t="s">
        <v>6778</v>
      </c>
      <c r="AH799" s="184">
        <f t="shared" si="58"/>
        <v>1971.9999999999998</v>
      </c>
      <c r="AI799" s="511"/>
      <c r="AJ799" s="507"/>
      <c r="AK799" s="1991">
        <v>1</v>
      </c>
      <c r="AL799" s="626"/>
      <c r="AM799" s="1546"/>
      <c r="AN799" s="565"/>
      <c r="AO799" s="565"/>
      <c r="AP799" s="565"/>
      <c r="AQ799" s="507"/>
      <c r="AR799" s="507"/>
      <c r="AS799" s="512"/>
      <c r="AT799" s="507"/>
      <c r="AU799" s="507"/>
      <c r="AV799" s="507"/>
      <c r="AW799" s="507"/>
      <c r="AX799" s="507"/>
      <c r="AY799" s="507"/>
      <c r="AZ799" s="507"/>
      <c r="BA799" s="507"/>
      <c r="BB799" s="507"/>
      <c r="BC799" s="507"/>
      <c r="BD799" s="507"/>
      <c r="BE799" s="507"/>
      <c r="BF799" s="507"/>
      <c r="BG799" s="507"/>
      <c r="BH799" s="507"/>
      <c r="BI799" s="33"/>
      <c r="BJ799" s="12"/>
    </row>
    <row r="800" spans="1:62" ht="88.5" hidden="1" customHeight="1">
      <c r="A800" s="16">
        <f>OBRA!K798</f>
        <v>2024</v>
      </c>
      <c r="B800" s="781" t="s">
        <v>3947</v>
      </c>
      <c r="C800" s="781">
        <f>OBRA!L798</f>
        <v>243002</v>
      </c>
      <c r="D800" s="24" t="s">
        <v>2313</v>
      </c>
      <c r="E800" s="2" t="str">
        <f>OBRA!N798</f>
        <v>CUENTA CORRIENTE</v>
      </c>
      <c r="F800" s="512"/>
      <c r="G800" s="156" t="s">
        <v>2864</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4755</v>
      </c>
      <c r="M800" s="173" t="s">
        <v>5347</v>
      </c>
      <c r="N800" s="3" t="str">
        <f>OBRA!R798</f>
        <v>CABECERA MUNICIPAL</v>
      </c>
      <c r="O800" s="505" t="s">
        <v>6775</v>
      </c>
      <c r="P800" s="4">
        <f>OBRA!S798</f>
        <v>2204</v>
      </c>
      <c r="Q800" s="1045">
        <f t="shared" si="57"/>
        <v>1900.0000000000002</v>
      </c>
      <c r="R800" s="1045" t="s">
        <v>2297</v>
      </c>
      <c r="S800" s="6">
        <f>OBRA!T798</f>
        <v>45345</v>
      </c>
      <c r="T800" s="1156">
        <f>OBRA!W798</f>
        <v>0</v>
      </c>
      <c r="U800" s="5">
        <f>OBRA!U798</f>
        <v>45348</v>
      </c>
      <c r="V800" s="11">
        <f>OBRA!V798</f>
        <v>45350</v>
      </c>
      <c r="W800" s="1557">
        <v>0</v>
      </c>
      <c r="X800" s="1119">
        <f>OBRA!AT798+OBRA!AU798</f>
        <v>0</v>
      </c>
      <c r="Y800" s="1040" t="s">
        <v>6791</v>
      </c>
      <c r="Z800" s="146" t="str">
        <f>OBRA!X798</f>
        <v>ING. SERGIO CABRERA</v>
      </c>
      <c r="AA800" s="146" t="s">
        <v>5668</v>
      </c>
      <c r="AB800" s="1816" t="s">
        <v>4447</v>
      </c>
      <c r="AC800" s="146" t="s">
        <v>1922</v>
      </c>
      <c r="AD800" s="148" t="s">
        <v>6049</v>
      </c>
      <c r="AE800" s="1818" t="str">
        <f>OBRA!Y798</f>
        <v>C. IMELDA KARINA PÉREZ GONZÁLEZ</v>
      </c>
      <c r="AF800" s="19">
        <v>2</v>
      </c>
      <c r="AG800" s="2" t="s">
        <v>6778</v>
      </c>
      <c r="AH800" s="184">
        <f t="shared" si="58"/>
        <v>1102</v>
      </c>
      <c r="AI800" s="511"/>
      <c r="AJ800" s="507"/>
      <c r="AK800" s="1991">
        <v>1</v>
      </c>
      <c r="AL800" s="626"/>
      <c r="AM800" s="1546"/>
      <c r="AN800" s="565"/>
      <c r="AO800" s="565"/>
      <c r="AP800" s="565"/>
      <c r="AQ800" s="507"/>
      <c r="AR800" s="507"/>
      <c r="AS800" s="512"/>
      <c r="AT800" s="507"/>
      <c r="AU800" s="507"/>
      <c r="AV800" s="507"/>
      <c r="AW800" s="507"/>
      <c r="AX800" s="507"/>
      <c r="AY800" s="507"/>
      <c r="AZ800" s="507"/>
      <c r="BA800" s="507"/>
      <c r="BB800" s="507"/>
      <c r="BC800" s="507"/>
      <c r="BD800" s="507"/>
      <c r="BE800" s="507"/>
      <c r="BF800" s="507"/>
      <c r="BG800" s="507"/>
      <c r="BH800" s="507"/>
      <c r="BI800" s="33"/>
      <c r="BJ800" s="12"/>
    </row>
    <row r="801" spans="1:62" ht="96" hidden="1" customHeight="1">
      <c r="A801" s="16">
        <f>OBRA!K799</f>
        <v>2024</v>
      </c>
      <c r="B801" s="781" t="s">
        <v>3947</v>
      </c>
      <c r="C801" s="781">
        <f>OBRA!L799</f>
        <v>243003</v>
      </c>
      <c r="D801" s="24" t="s">
        <v>2313</v>
      </c>
      <c r="E801" s="2" t="str">
        <f>OBRA!N799</f>
        <v>CUENTA CORRIENTE</v>
      </c>
      <c r="F801" s="512"/>
      <c r="G801" s="156" t="s">
        <v>2864</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4750</v>
      </c>
      <c r="M801" s="173" t="s">
        <v>6734</v>
      </c>
      <c r="N801" s="3" t="str">
        <f>OBRA!R799</f>
        <v>ZAPOTITÁN DE HIDALGO</v>
      </c>
      <c r="O801" s="505" t="s">
        <v>6775</v>
      </c>
      <c r="P801" s="4">
        <f>OBRA!S799</f>
        <v>696</v>
      </c>
      <c r="Q801" s="1045">
        <f t="shared" si="57"/>
        <v>600</v>
      </c>
      <c r="R801" s="1045" t="s">
        <v>2297</v>
      </c>
      <c r="S801" s="6">
        <f>OBRA!T799</f>
        <v>45345</v>
      </c>
      <c r="T801" s="1156">
        <f>OBRA!W799</f>
        <v>0</v>
      </c>
      <c r="U801" s="5">
        <f>OBRA!U799</f>
        <v>45348</v>
      </c>
      <c r="V801" s="11">
        <f>OBRA!V799</f>
        <v>45353</v>
      </c>
      <c r="W801" s="1557">
        <v>0</v>
      </c>
      <c r="X801" s="1119">
        <f>OBRA!AT799+OBRA!AU799</f>
        <v>0</v>
      </c>
      <c r="Y801" s="1040" t="s">
        <v>6791</v>
      </c>
      <c r="Z801" s="146" t="str">
        <f>OBRA!X799</f>
        <v xml:space="preserve">DORIA &amp; SAMPIER CONSTRUCTORA, S.A. DE C.V. </v>
      </c>
      <c r="AA801" s="146" t="s">
        <v>5669</v>
      </c>
      <c r="AB801" s="1816" t="s">
        <v>5610</v>
      </c>
      <c r="AC801" s="1817" t="s">
        <v>4404</v>
      </c>
      <c r="AD801" s="148" t="s">
        <v>6574</v>
      </c>
      <c r="AE801" s="1818" t="str">
        <f>OBRA!Y799</f>
        <v>C. IMELDA KARINA PÉREZ GONZÁLEZ</v>
      </c>
      <c r="AF801" s="19">
        <v>1</v>
      </c>
      <c r="AG801" s="2" t="s">
        <v>6778</v>
      </c>
      <c r="AH801" s="184">
        <f t="shared" si="58"/>
        <v>696</v>
      </c>
      <c r="AI801" s="511"/>
      <c r="AJ801" s="507"/>
      <c r="AK801" s="1991">
        <v>1</v>
      </c>
      <c r="AL801" s="626"/>
      <c r="AM801" s="1546"/>
      <c r="AN801" s="565"/>
      <c r="AO801" s="565"/>
      <c r="AP801" s="565"/>
      <c r="AQ801" s="507"/>
      <c r="AR801" s="507"/>
      <c r="AS801" s="512"/>
      <c r="AT801" s="507"/>
      <c r="AU801" s="507"/>
      <c r="AV801" s="507"/>
      <c r="AW801" s="507"/>
      <c r="AX801" s="507"/>
      <c r="AY801" s="507"/>
      <c r="AZ801" s="507"/>
      <c r="BA801" s="507"/>
      <c r="BB801" s="507"/>
      <c r="BC801" s="507"/>
      <c r="BD801" s="507"/>
      <c r="BE801" s="507"/>
      <c r="BF801" s="507"/>
      <c r="BG801" s="507"/>
      <c r="BH801" s="507"/>
      <c r="BI801" s="33"/>
      <c r="BJ801" s="12"/>
    </row>
    <row r="802" spans="1:62" ht="76.5" hidden="1" customHeight="1">
      <c r="A802" s="16">
        <f>OBRA!K800</f>
        <v>2024</v>
      </c>
      <c r="B802" s="781" t="s">
        <v>3947</v>
      </c>
      <c r="C802" s="781">
        <f>OBRA!L800</f>
        <v>243004</v>
      </c>
      <c r="D802" s="24" t="s">
        <v>2313</v>
      </c>
      <c r="E802" s="2" t="str">
        <f>OBRA!N800</f>
        <v>CUENTA CORRIENTE</v>
      </c>
      <c r="F802" s="512"/>
      <c r="G802" s="156" t="s">
        <v>2864</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4809</v>
      </c>
      <c r="M802" s="173" t="s">
        <v>4809</v>
      </c>
      <c r="N802" s="3" t="str">
        <f>OBRA!R800</f>
        <v>CABECERA MUNICIPAL</v>
      </c>
      <c r="O802" s="505" t="s">
        <v>6775</v>
      </c>
      <c r="P802" s="4">
        <f>OBRA!S800</f>
        <v>4292</v>
      </c>
      <c r="Q802" s="1045">
        <f t="shared" si="57"/>
        <v>3700.0000000000005</v>
      </c>
      <c r="R802" s="1045" t="s">
        <v>6747</v>
      </c>
      <c r="S802" s="6">
        <f>OBRA!T800</f>
        <v>45363</v>
      </c>
      <c r="T802" s="1156">
        <f>OBRA!W800</f>
        <v>0</v>
      </c>
      <c r="U802" s="5">
        <f>OBRA!U800</f>
        <v>45365</v>
      </c>
      <c r="V802" s="11">
        <f>OBRA!V800</f>
        <v>45372</v>
      </c>
      <c r="W802" s="1557">
        <v>0</v>
      </c>
      <c r="X802" s="1119">
        <f>OBRA!AT800+OBRA!AU800</f>
        <v>0</v>
      </c>
      <c r="Y802" s="1040" t="s">
        <v>6791</v>
      </c>
      <c r="Z802" s="146" t="str">
        <f>OBRA!X800</f>
        <v>C. URIEL PALOS VACA</v>
      </c>
      <c r="AA802" s="146" t="s">
        <v>5668</v>
      </c>
      <c r="AB802" s="148" t="s">
        <v>3763</v>
      </c>
      <c r="AC802" s="146" t="s">
        <v>4497</v>
      </c>
      <c r="AD802" s="148" t="s">
        <v>6759</v>
      </c>
      <c r="AE802" s="1818" t="str">
        <f>OBRA!Y800</f>
        <v>C. IMELDA KARINA PÉREZ GONZÁLEZ</v>
      </c>
      <c r="AF802" s="19">
        <v>6</v>
      </c>
      <c r="AG802" s="2" t="s">
        <v>6778</v>
      </c>
      <c r="AH802" s="184">
        <f t="shared" si="58"/>
        <v>715.33333333333337</v>
      </c>
      <c r="AI802" s="511"/>
      <c r="AJ802" s="507"/>
      <c r="AK802" s="1991">
        <v>1</v>
      </c>
      <c r="AL802" s="626"/>
      <c r="AM802" s="1546"/>
      <c r="AN802" s="565"/>
      <c r="AO802" s="565"/>
      <c r="AP802" s="565"/>
      <c r="AQ802" s="507"/>
      <c r="AR802" s="507"/>
      <c r="AS802" s="512"/>
      <c r="AT802" s="507"/>
      <c r="AU802" s="507"/>
      <c r="AV802" s="507"/>
      <c r="AW802" s="507"/>
      <c r="AX802" s="507"/>
      <c r="AY802" s="507"/>
      <c r="AZ802" s="507"/>
      <c r="BA802" s="507"/>
      <c r="BB802" s="507"/>
      <c r="BC802" s="507"/>
      <c r="BD802" s="507"/>
      <c r="BE802" s="507"/>
      <c r="BF802" s="507"/>
      <c r="BG802" s="507"/>
      <c r="BH802" s="507"/>
      <c r="BI802" s="33"/>
      <c r="BJ802" s="12"/>
    </row>
    <row r="803" spans="1:62" ht="84.75" hidden="1" customHeight="1">
      <c r="A803" s="16">
        <f>OBRA!K801</f>
        <v>2024</v>
      </c>
      <c r="B803" s="781" t="s">
        <v>3947</v>
      </c>
      <c r="C803" s="781">
        <f>OBRA!L801</f>
        <v>243005</v>
      </c>
      <c r="D803" s="24" t="s">
        <v>2313</v>
      </c>
      <c r="E803" s="2" t="str">
        <f>OBRA!N801</f>
        <v>CUENTA CORRIENTE</v>
      </c>
      <c r="F803" s="512"/>
      <c r="G803" s="156" t="s">
        <v>2864</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4809</v>
      </c>
      <c r="M803" s="173" t="s">
        <v>4809</v>
      </c>
      <c r="N803" s="3" t="str">
        <f>OBRA!R801</f>
        <v>SAN CRISTÓBAL ZAPOTITLÁN</v>
      </c>
      <c r="O803" s="505" t="s">
        <v>6775</v>
      </c>
      <c r="P803" s="4">
        <f>OBRA!S801</f>
        <v>3711.9999999999995</v>
      </c>
      <c r="Q803" s="1045">
        <f t="shared" si="57"/>
        <v>3200</v>
      </c>
      <c r="R803" s="1045" t="s">
        <v>2297</v>
      </c>
      <c r="S803" s="6">
        <f>OBRA!T801</f>
        <v>45362</v>
      </c>
      <c r="T803" s="1156">
        <f>OBRA!W801</f>
        <v>0</v>
      </c>
      <c r="U803" s="5">
        <f>OBRA!U801</f>
        <v>45363</v>
      </c>
      <c r="V803" s="11">
        <f>OBRA!V801</f>
        <v>45367</v>
      </c>
      <c r="W803" s="1557">
        <v>0</v>
      </c>
      <c r="X803" s="1119">
        <f>OBRA!AT801+OBRA!AU801</f>
        <v>0</v>
      </c>
      <c r="Y803" s="1040" t="s">
        <v>6791</v>
      </c>
      <c r="Z803" s="146" t="str">
        <f>OBRA!X801</f>
        <v>ING. SERGIO CABRERA</v>
      </c>
      <c r="AA803" s="146" t="s">
        <v>5668</v>
      </c>
      <c r="AB803" s="1816" t="s">
        <v>4447</v>
      </c>
      <c r="AC803" s="146" t="s">
        <v>1922</v>
      </c>
      <c r="AD803" s="148" t="s">
        <v>6049</v>
      </c>
      <c r="AE803" s="1818" t="str">
        <f>OBRA!Y801</f>
        <v>C. IMELDA KARINA PÉREZ GONZÁLEZ</v>
      </c>
      <c r="AF803" s="19">
        <v>2</v>
      </c>
      <c r="AG803" s="2" t="s">
        <v>6778</v>
      </c>
      <c r="AH803" s="184">
        <f t="shared" si="58"/>
        <v>1855.9999999999998</v>
      </c>
      <c r="AI803" s="511"/>
      <c r="AJ803" s="507"/>
      <c r="AK803" s="1991">
        <v>1</v>
      </c>
      <c r="AL803" s="626"/>
      <c r="AM803" s="1546"/>
      <c r="AN803" s="565"/>
      <c r="AO803" s="565"/>
      <c r="AP803" s="565"/>
      <c r="AQ803" s="507"/>
      <c r="AR803" s="507"/>
      <c r="AS803" s="512"/>
      <c r="AT803" s="507"/>
      <c r="AU803" s="507"/>
      <c r="AV803" s="507"/>
      <c r="AW803" s="507"/>
      <c r="AX803" s="507"/>
      <c r="AY803" s="507"/>
      <c r="AZ803" s="507"/>
      <c r="BA803" s="507"/>
      <c r="BB803" s="507"/>
      <c r="BC803" s="507"/>
      <c r="BD803" s="507"/>
      <c r="BE803" s="507"/>
      <c r="BF803" s="507"/>
      <c r="BG803" s="507"/>
      <c r="BH803" s="507"/>
      <c r="BI803" s="33"/>
      <c r="BJ803" s="12"/>
    </row>
    <row r="804" spans="1:62" ht="65.25" hidden="1" customHeight="1">
      <c r="A804" s="16">
        <f>OBRA!K802</f>
        <v>2024</v>
      </c>
      <c r="B804" s="781" t="s">
        <v>3947</v>
      </c>
      <c r="C804" s="781">
        <f>OBRA!L802</f>
        <v>243006</v>
      </c>
      <c r="D804" s="24" t="s">
        <v>2313</v>
      </c>
      <c r="E804" s="2" t="str">
        <f>OBRA!N802</f>
        <v>CUENTA CORRIENTE</v>
      </c>
      <c r="F804" s="512"/>
      <c r="G804" s="156" t="s">
        <v>2864</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4748</v>
      </c>
      <c r="M804" s="173" t="s">
        <v>67</v>
      </c>
      <c r="N804" s="3" t="str">
        <f>OBRA!R802</f>
        <v>MUNICIPIO</v>
      </c>
      <c r="O804" s="505" t="s">
        <v>6775</v>
      </c>
      <c r="P804" s="4">
        <f>OBRA!S802</f>
        <v>1971.9999999999998</v>
      </c>
      <c r="Q804" s="1045">
        <f t="shared" ref="Q804:Q845" si="61">P804/1.16</f>
        <v>1700</v>
      </c>
      <c r="R804" s="1045" t="s">
        <v>5594</v>
      </c>
      <c r="S804" s="6">
        <f>OBRA!T802</f>
        <v>45352</v>
      </c>
      <c r="T804" s="1156">
        <f>OBRA!W802</f>
        <v>0</v>
      </c>
      <c r="U804" s="5">
        <f>OBRA!U802</f>
        <v>45352</v>
      </c>
      <c r="V804" s="11">
        <f>OBRA!V802</f>
        <v>45381</v>
      </c>
      <c r="W804" s="1557">
        <v>0</v>
      </c>
      <c r="X804" s="1119">
        <f>OBRA!AT802+OBRA!AU802</f>
        <v>0</v>
      </c>
      <c r="Y804" s="1040" t="s">
        <v>6791</v>
      </c>
      <c r="Z804" s="146" t="str">
        <f>OBRA!X802</f>
        <v>ING. SERGIO CABRERA</v>
      </c>
      <c r="AA804" s="146" t="s">
        <v>5668</v>
      </c>
      <c r="AB804" s="1816" t="s">
        <v>4447</v>
      </c>
      <c r="AC804" s="146" t="s">
        <v>1922</v>
      </c>
      <c r="AD804" s="148" t="s">
        <v>6049</v>
      </c>
      <c r="AE804" s="184" t="str">
        <f>OBRA!Y802</f>
        <v>C. IMELDA KARINA PÉREZ GONZÁLEZ</v>
      </c>
      <c r="AF804" s="19">
        <v>1</v>
      </c>
      <c r="AG804" s="2" t="s">
        <v>6778</v>
      </c>
      <c r="AH804" s="184">
        <f t="shared" si="58"/>
        <v>1971.9999999999998</v>
      </c>
      <c r="AI804" s="511"/>
      <c r="AJ804" s="507"/>
      <c r="AK804" s="1991">
        <v>1</v>
      </c>
      <c r="AL804" s="626"/>
      <c r="AM804" s="1546"/>
      <c r="AN804" s="565"/>
      <c r="AO804" s="565"/>
      <c r="AP804" s="565"/>
      <c r="AQ804" s="507"/>
      <c r="AR804" s="507"/>
      <c r="AS804" s="512"/>
      <c r="AT804" s="507"/>
      <c r="AU804" s="507"/>
      <c r="AV804" s="507"/>
      <c r="AW804" s="507"/>
      <c r="AX804" s="507"/>
      <c r="AY804" s="507"/>
      <c r="AZ804" s="507"/>
      <c r="BA804" s="507"/>
      <c r="BB804" s="507"/>
      <c r="BC804" s="507"/>
      <c r="BD804" s="507"/>
      <c r="BE804" s="507"/>
      <c r="BF804" s="507"/>
      <c r="BG804" s="507"/>
      <c r="BH804" s="507"/>
      <c r="BI804" s="33"/>
      <c r="BJ804" s="12"/>
    </row>
    <row r="805" spans="1:62" ht="71.25" hidden="1" customHeight="1">
      <c r="A805" s="16">
        <f>OBRA!K803</f>
        <v>2024</v>
      </c>
      <c r="B805" s="781" t="s">
        <v>3947</v>
      </c>
      <c r="C805" s="781">
        <f>OBRA!L803</f>
        <v>243007</v>
      </c>
      <c r="D805" s="24" t="s">
        <v>2313</v>
      </c>
      <c r="E805" s="2" t="str">
        <f>OBRA!N803</f>
        <v>CUENTA CORRIENTE</v>
      </c>
      <c r="F805" s="512"/>
      <c r="G805" s="156" t="s">
        <v>2864</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6367</v>
      </c>
      <c r="M805" s="173" t="s">
        <v>67</v>
      </c>
      <c r="N805" s="3" t="str">
        <f>OBRA!R803</f>
        <v>CABECERA MUNICIPAL</v>
      </c>
      <c r="O805" s="505" t="s">
        <v>6775</v>
      </c>
      <c r="P805" s="4">
        <f>OBRA!S803</f>
        <v>1508</v>
      </c>
      <c r="Q805" s="1045">
        <f t="shared" si="61"/>
        <v>1300</v>
      </c>
      <c r="R805" s="1045" t="s">
        <v>2297</v>
      </c>
      <c r="S805" s="6">
        <f>OBRA!T803</f>
        <v>45378</v>
      </c>
      <c r="T805" s="1156">
        <f>OBRA!W803</f>
        <v>0</v>
      </c>
      <c r="U805" s="5">
        <f>OBRA!U803</f>
        <v>45383</v>
      </c>
      <c r="V805" s="11">
        <f>OBRA!V803</f>
        <v>45412</v>
      </c>
      <c r="W805" s="1557">
        <v>0</v>
      </c>
      <c r="X805" s="1119">
        <f>OBRA!AT803+OBRA!AU803</f>
        <v>0</v>
      </c>
      <c r="Y805" s="1040" t="s">
        <v>6791</v>
      </c>
      <c r="Z805" s="146" t="str">
        <f>OBRA!X803</f>
        <v>ING. SERGIO CABRERA</v>
      </c>
      <c r="AA805" s="146" t="s">
        <v>5668</v>
      </c>
      <c r="AB805" s="1816" t="s">
        <v>4447</v>
      </c>
      <c r="AC805" s="146" t="s">
        <v>1922</v>
      </c>
      <c r="AD805" s="148" t="s">
        <v>6049</v>
      </c>
      <c r="AE805" s="184" t="str">
        <f>OBRA!Y803</f>
        <v>C. IMELDA KARINA PÉREZ GONZÁLEZ</v>
      </c>
      <c r="AF805" s="19">
        <v>1</v>
      </c>
      <c r="AG805" s="2" t="s">
        <v>6778</v>
      </c>
      <c r="AH805" s="184">
        <f t="shared" si="58"/>
        <v>1508</v>
      </c>
      <c r="AI805" s="511"/>
      <c r="AJ805" s="507"/>
      <c r="AK805" s="1991">
        <v>1</v>
      </c>
      <c r="AL805" s="626"/>
      <c r="AM805" s="1546"/>
      <c r="AN805" s="565"/>
      <c r="AO805" s="565"/>
      <c r="AP805" s="565"/>
      <c r="AQ805" s="507"/>
      <c r="AR805" s="507"/>
      <c r="AS805" s="512"/>
      <c r="AT805" s="507"/>
      <c r="AU805" s="507"/>
      <c r="AV805" s="507"/>
      <c r="AW805" s="507"/>
      <c r="AX805" s="507"/>
      <c r="AY805" s="507"/>
      <c r="AZ805" s="507"/>
      <c r="BA805" s="507"/>
      <c r="BB805" s="507"/>
      <c r="BC805" s="507"/>
      <c r="BD805" s="507"/>
      <c r="BE805" s="507"/>
      <c r="BF805" s="507"/>
      <c r="BG805" s="507"/>
      <c r="BH805" s="507"/>
      <c r="BI805" s="33"/>
      <c r="BJ805" s="12"/>
    </row>
    <row r="806" spans="1:62" ht="66.75" hidden="1" customHeight="1">
      <c r="A806" s="16">
        <f>OBRA!K804</f>
        <v>2024</v>
      </c>
      <c r="B806" s="781" t="s">
        <v>3947</v>
      </c>
      <c r="C806" s="781">
        <f>OBRA!L804</f>
        <v>243008</v>
      </c>
      <c r="D806" s="24" t="s">
        <v>2313</v>
      </c>
      <c r="E806" s="2" t="str">
        <f>OBRA!N804</f>
        <v>CUENTA CORRIENTE</v>
      </c>
      <c r="F806" s="512"/>
      <c r="G806" s="156" t="s">
        <v>2864</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4748</v>
      </c>
      <c r="M806" s="173" t="s">
        <v>67</v>
      </c>
      <c r="N806" s="3" t="str">
        <f>OBRA!R804</f>
        <v>MUNICIPIO</v>
      </c>
      <c r="O806" s="505" t="s">
        <v>6775</v>
      </c>
      <c r="P806" s="4">
        <f>OBRA!S804</f>
        <v>4640</v>
      </c>
      <c r="Q806" s="1045">
        <f t="shared" si="61"/>
        <v>4000.0000000000005</v>
      </c>
      <c r="R806" s="1045" t="s">
        <v>5594</v>
      </c>
      <c r="S806" s="6">
        <f>OBRA!T804</f>
        <v>45394</v>
      </c>
      <c r="T806" s="1156">
        <f>OBRA!W804</f>
        <v>0</v>
      </c>
      <c r="U806" s="5">
        <f>OBRA!U804</f>
        <v>45397</v>
      </c>
      <c r="V806" s="11">
        <f>OBRA!V804</f>
        <v>45401</v>
      </c>
      <c r="W806" s="1557">
        <v>0</v>
      </c>
      <c r="X806" s="1119">
        <f>OBRA!AT804+OBRA!AU804</f>
        <v>0</v>
      </c>
      <c r="Y806" s="1040" t="s">
        <v>6791</v>
      </c>
      <c r="Z806" s="146" t="str">
        <f>OBRA!X804</f>
        <v xml:space="preserve">DORIA &amp; SAMPIER CONSTRUCTORA, S.A. DE C.V. </v>
      </c>
      <c r="AA806" s="146" t="s">
        <v>5669</v>
      </c>
      <c r="AB806" s="1816" t="s">
        <v>5610</v>
      </c>
      <c r="AC806" s="1817" t="s">
        <v>4404</v>
      </c>
      <c r="AD806" s="148" t="s">
        <v>6574</v>
      </c>
      <c r="AE806" s="184" t="str">
        <f>OBRA!Y804</f>
        <v>C. IMELDA KARINA PÉREZ GONZÁLEZ</v>
      </c>
      <c r="AF806" s="19">
        <v>1</v>
      </c>
      <c r="AG806" s="2" t="s">
        <v>6778</v>
      </c>
      <c r="AH806" s="184">
        <f t="shared" si="58"/>
        <v>4640</v>
      </c>
      <c r="AI806" s="511"/>
      <c r="AJ806" s="507"/>
      <c r="AK806" s="1991">
        <v>1</v>
      </c>
      <c r="AL806" s="626"/>
      <c r="AM806" s="1546"/>
      <c r="AN806" s="565"/>
      <c r="AO806" s="565"/>
      <c r="AP806" s="565"/>
      <c r="AQ806" s="507"/>
      <c r="AR806" s="507"/>
      <c r="AS806" s="512"/>
      <c r="AT806" s="507"/>
      <c r="AU806" s="507"/>
      <c r="AV806" s="507"/>
      <c r="AW806" s="507"/>
      <c r="AX806" s="507"/>
      <c r="AY806" s="507"/>
      <c r="AZ806" s="507"/>
      <c r="BA806" s="507"/>
      <c r="BB806" s="507"/>
      <c r="BC806" s="507"/>
      <c r="BD806" s="507"/>
      <c r="BE806" s="507"/>
      <c r="BF806" s="507"/>
      <c r="BG806" s="507"/>
      <c r="BH806" s="507"/>
      <c r="BI806" s="33"/>
      <c r="BJ806" s="12"/>
    </row>
    <row r="807" spans="1:62" ht="106.5" hidden="1" customHeight="1">
      <c r="A807" s="16">
        <f>OBRA!K805</f>
        <v>2024</v>
      </c>
      <c r="B807" s="781" t="s">
        <v>3947</v>
      </c>
      <c r="C807" s="781">
        <f>OBRA!L805</f>
        <v>243009</v>
      </c>
      <c r="D807" s="24" t="s">
        <v>2313</v>
      </c>
      <c r="E807" s="2" t="str">
        <f>OBRA!N805</f>
        <v>CUENTA CORRIENTE</v>
      </c>
      <c r="F807" s="512"/>
      <c r="G807" s="156" t="s">
        <v>2864</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4752</v>
      </c>
      <c r="M807" s="173" t="s">
        <v>6737</v>
      </c>
      <c r="N807" s="3" t="str">
        <f>OBRA!R805</f>
        <v>NEXTIPAC</v>
      </c>
      <c r="O807" s="505" t="s">
        <v>6775</v>
      </c>
      <c r="P807" s="4">
        <f>OBRA!S805</f>
        <v>788.8</v>
      </c>
      <c r="Q807" s="1045">
        <f t="shared" si="61"/>
        <v>680</v>
      </c>
      <c r="R807" s="1045" t="s">
        <v>2297</v>
      </c>
      <c r="S807" s="6">
        <f>OBRA!T805</f>
        <v>45352</v>
      </c>
      <c r="T807" s="1156">
        <f>OBRA!W805</f>
        <v>0</v>
      </c>
      <c r="U807" s="5">
        <f>OBRA!U805</f>
        <v>45352</v>
      </c>
      <c r="V807" s="11">
        <f>OBRA!V805</f>
        <v>45443</v>
      </c>
      <c r="W807" s="1557">
        <v>0</v>
      </c>
      <c r="X807" s="1119">
        <f>OBRA!AT805+OBRA!AU805</f>
        <v>0</v>
      </c>
      <c r="Y807" s="1040" t="s">
        <v>6791</v>
      </c>
      <c r="Z807" s="146" t="str">
        <f>OBRA!X805</f>
        <v>INFRAESTRUCTURA GUSEV, S.A. DE C.V.</v>
      </c>
      <c r="AA807" s="146" t="s">
        <v>5669</v>
      </c>
      <c r="AB807" s="148" t="s">
        <v>6549</v>
      </c>
      <c r="AC807" s="146" t="s">
        <v>6536</v>
      </c>
      <c r="AD807" s="148" t="s">
        <v>6537</v>
      </c>
      <c r="AE807" s="184" t="str">
        <f>OBRA!Y805</f>
        <v>C. DANIEL RODRIGUEZ VALENZUELA</v>
      </c>
      <c r="AF807" s="19">
        <v>1</v>
      </c>
      <c r="AG807" s="2" t="s">
        <v>6778</v>
      </c>
      <c r="AH807" s="184">
        <f t="shared" si="58"/>
        <v>788.8</v>
      </c>
      <c r="AI807" s="511"/>
      <c r="AJ807" s="507"/>
      <c r="AK807" s="1991">
        <v>1</v>
      </c>
      <c r="AL807" s="626"/>
      <c r="AM807" s="1546"/>
      <c r="AN807" s="565"/>
      <c r="AO807" s="565"/>
      <c r="AP807" s="565"/>
      <c r="AQ807" s="507"/>
      <c r="AR807" s="507"/>
      <c r="AS807" s="512"/>
      <c r="AT807" s="507"/>
      <c r="AU807" s="507"/>
      <c r="AV807" s="507"/>
      <c r="AW807" s="507"/>
      <c r="AX807" s="507"/>
      <c r="AY807" s="507"/>
      <c r="AZ807" s="507"/>
      <c r="BA807" s="507"/>
      <c r="BB807" s="507"/>
      <c r="BC807" s="507"/>
      <c r="BD807" s="507"/>
      <c r="BE807" s="507"/>
      <c r="BF807" s="507"/>
      <c r="BG807" s="507"/>
      <c r="BH807" s="507"/>
      <c r="BI807" s="33"/>
      <c r="BJ807" s="12"/>
    </row>
    <row r="808" spans="1:62" ht="103.5" hidden="1" customHeight="1">
      <c r="A808" s="16">
        <f>OBRA!K806</f>
        <v>2024</v>
      </c>
      <c r="B808" s="781" t="s">
        <v>3947</v>
      </c>
      <c r="C808" s="781">
        <f>OBRA!L806</f>
        <v>243010</v>
      </c>
      <c r="D808" s="24" t="s">
        <v>2313</v>
      </c>
      <c r="E808" s="2" t="str">
        <f>OBRA!N806</f>
        <v>CUENTA CORRIENTE</v>
      </c>
      <c r="F808" s="512"/>
      <c r="G808" s="156" t="s">
        <v>2864</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4750</v>
      </c>
      <c r="M808" s="173" t="s">
        <v>6738</v>
      </c>
      <c r="N808" s="3" t="str">
        <f>OBRA!R806</f>
        <v>CABECERA MUNICIPAL</v>
      </c>
      <c r="O808" s="505" t="s">
        <v>6775</v>
      </c>
      <c r="P808" s="4">
        <f>OBRA!S806</f>
        <v>1482.4799999999998</v>
      </c>
      <c r="Q808" s="1045">
        <f t="shared" si="61"/>
        <v>1278</v>
      </c>
      <c r="R808" s="1045" t="s">
        <v>2465</v>
      </c>
      <c r="S808" s="6">
        <f>OBRA!T806</f>
        <v>45420</v>
      </c>
      <c r="T808" s="1156">
        <f>OBRA!W806</f>
        <v>0</v>
      </c>
      <c r="U808" s="5">
        <f>OBRA!U806</f>
        <v>45422</v>
      </c>
      <c r="V808" s="11">
        <f>OBRA!V806</f>
        <v>45423</v>
      </c>
      <c r="W808" s="1557">
        <v>0</v>
      </c>
      <c r="X808" s="1119">
        <f>OBRA!AT806+OBRA!AU806</f>
        <v>0</v>
      </c>
      <c r="Y808" s="1040" t="s">
        <v>6791</v>
      </c>
      <c r="Z808" s="146" t="str">
        <f>OBRA!X806</f>
        <v xml:space="preserve">DORIA &amp; SAMPIER CONSTRUCTORA, S.A. DE C.V. </v>
      </c>
      <c r="AA808" s="146" t="s">
        <v>5669</v>
      </c>
      <c r="AB808" s="1816" t="s">
        <v>5610</v>
      </c>
      <c r="AC808" s="1817" t="s">
        <v>4404</v>
      </c>
      <c r="AD808" s="148" t="s">
        <v>6574</v>
      </c>
      <c r="AE808" s="184" t="str">
        <f>OBRA!Y806</f>
        <v>ING. J. GUADALUPE IBARRA RAMIREZ</v>
      </c>
      <c r="AF808" s="19">
        <v>1</v>
      </c>
      <c r="AG808" s="2" t="s">
        <v>6778</v>
      </c>
      <c r="AH808" s="184">
        <f t="shared" si="58"/>
        <v>1482.4799999999998</v>
      </c>
      <c r="AI808" s="511"/>
      <c r="AJ808" s="507"/>
      <c r="AK808" s="1991">
        <v>1</v>
      </c>
      <c r="AL808" s="626"/>
      <c r="AM808" s="1546"/>
      <c r="AN808" s="565"/>
      <c r="AO808" s="565"/>
      <c r="AP808" s="565"/>
      <c r="AQ808" s="507"/>
      <c r="AR808" s="507"/>
      <c r="AS808" s="512"/>
      <c r="AT808" s="507"/>
      <c r="AU808" s="507"/>
      <c r="AV808" s="507"/>
      <c r="AW808" s="507"/>
      <c r="AX808" s="507"/>
      <c r="AY808" s="507"/>
      <c r="AZ808" s="507"/>
      <c r="BA808" s="507"/>
      <c r="BB808" s="507"/>
      <c r="BC808" s="507"/>
      <c r="BD808" s="507"/>
      <c r="BE808" s="507"/>
      <c r="BF808" s="507"/>
      <c r="BG808" s="507"/>
      <c r="BH808" s="507"/>
      <c r="BI808" s="33"/>
      <c r="BJ808" s="12"/>
    </row>
    <row r="809" spans="1:62" ht="83.25" hidden="1" customHeight="1">
      <c r="A809" s="16">
        <f>OBRA!K807</f>
        <v>2024</v>
      </c>
      <c r="B809" s="781" t="s">
        <v>3947</v>
      </c>
      <c r="C809" s="781"/>
      <c r="D809" s="24"/>
      <c r="E809" s="2" t="str">
        <f>OBRA!N807</f>
        <v>CUENTA CORRIENTE</v>
      </c>
      <c r="F809" s="512"/>
      <c r="G809" s="156" t="s">
        <v>2864</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4748</v>
      </c>
      <c r="M809" s="173" t="s">
        <v>67</v>
      </c>
      <c r="N809" s="3" t="str">
        <f>OBRA!R807</f>
        <v>MUNICIPIO</v>
      </c>
      <c r="O809" s="505" t="s">
        <v>6776</v>
      </c>
      <c r="P809" s="4">
        <f>OBRA!S807</f>
        <v>4640</v>
      </c>
      <c r="Q809" s="1045">
        <f t="shared" ref="Q809:Q819" si="62">P809/1.16</f>
        <v>4000.0000000000005</v>
      </c>
      <c r="R809" s="1045" t="s">
        <v>5594</v>
      </c>
      <c r="S809" s="6">
        <f>OBRA!T807</f>
        <v>45425</v>
      </c>
      <c r="T809" s="1156">
        <f>OBRA!W807</f>
        <v>0</v>
      </c>
      <c r="U809" s="5">
        <f>OBRA!U807</f>
        <v>45425</v>
      </c>
      <c r="V809" s="11">
        <f>OBRA!V807</f>
        <v>45430</v>
      </c>
      <c r="W809" s="1557">
        <v>0</v>
      </c>
      <c r="X809" s="1119">
        <f>OBRA!AT807+OBRA!AU807</f>
        <v>0</v>
      </c>
      <c r="Y809" s="1040" t="s">
        <v>6791</v>
      </c>
      <c r="Z809" s="146" t="str">
        <f>OBRA!X807</f>
        <v xml:space="preserve">DORIA &amp; SAMPIER CONSTRUCTORA, S.A. DE C.V. </v>
      </c>
      <c r="AA809" s="146" t="s">
        <v>5669</v>
      </c>
      <c r="AB809" s="1816" t="s">
        <v>5610</v>
      </c>
      <c r="AC809" s="1817" t="s">
        <v>4404</v>
      </c>
      <c r="AD809" s="148" t="s">
        <v>6574</v>
      </c>
      <c r="AE809" s="184" t="str">
        <f>OBRA!Y807</f>
        <v>C. IMELDA KARINA PÉREZ GONZÁLEZ</v>
      </c>
      <c r="AF809" s="19">
        <v>1</v>
      </c>
      <c r="AG809" s="2" t="s">
        <v>6778</v>
      </c>
      <c r="AH809" s="184">
        <f t="shared" si="58"/>
        <v>4640</v>
      </c>
      <c r="AI809" s="511"/>
      <c r="AJ809" s="507"/>
      <c r="AK809" s="1991">
        <v>1</v>
      </c>
      <c r="AL809" s="626"/>
      <c r="AM809" s="1546"/>
      <c r="AN809" s="565"/>
      <c r="AO809" s="565"/>
      <c r="AP809" s="565"/>
      <c r="AQ809" s="507"/>
      <c r="AR809" s="507"/>
      <c r="AS809" s="512"/>
      <c r="AT809" s="507"/>
      <c r="AU809" s="507"/>
      <c r="AV809" s="507"/>
      <c r="AW809" s="507"/>
      <c r="AX809" s="507"/>
      <c r="AY809" s="507"/>
      <c r="AZ809" s="507"/>
      <c r="BA809" s="507"/>
      <c r="BB809" s="507"/>
      <c r="BC809" s="507"/>
      <c r="BD809" s="507"/>
      <c r="BE809" s="507"/>
      <c r="BF809" s="507"/>
      <c r="BG809" s="507"/>
      <c r="BH809" s="507"/>
      <c r="BI809" s="33"/>
      <c r="BJ809" s="12"/>
    </row>
    <row r="810" spans="1:62" ht="96.75" hidden="1" customHeight="1">
      <c r="A810" s="16">
        <f>OBRA!K808</f>
        <v>2024</v>
      </c>
      <c r="B810" s="781" t="s">
        <v>3947</v>
      </c>
      <c r="C810" s="781"/>
      <c r="D810" s="24"/>
      <c r="E810" s="2" t="str">
        <f>OBRA!N808</f>
        <v>CUENTA CORRIENTE</v>
      </c>
      <c r="F810" s="512"/>
      <c r="G810" s="156" t="s">
        <v>2864</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4752</v>
      </c>
      <c r="M810" s="173" t="s">
        <v>2557</v>
      </c>
      <c r="N810" s="3" t="str">
        <f>OBRA!R808</f>
        <v>HUEJOTITÁN</v>
      </c>
      <c r="O810" s="505" t="s">
        <v>6776</v>
      </c>
      <c r="P810" s="4">
        <f>OBRA!S808</f>
        <v>788.8</v>
      </c>
      <c r="Q810" s="1045">
        <f t="shared" si="62"/>
        <v>680</v>
      </c>
      <c r="R810" s="1045" t="s">
        <v>2297</v>
      </c>
      <c r="S810" s="6">
        <f>OBRA!T808</f>
        <v>45372</v>
      </c>
      <c r="T810" s="1156">
        <f>OBRA!W808</f>
        <v>0</v>
      </c>
      <c r="U810" s="5">
        <f>OBRA!U808</f>
        <v>45372</v>
      </c>
      <c r="V810" s="11">
        <f>OBRA!V808</f>
        <v>45411</v>
      </c>
      <c r="W810" s="1557">
        <v>0</v>
      </c>
      <c r="X810" s="1119">
        <f>OBRA!AT808+OBRA!AU808</f>
        <v>0</v>
      </c>
      <c r="Y810" s="1040" t="s">
        <v>6791</v>
      </c>
      <c r="Z810" s="146" t="str">
        <f>OBRA!X808</f>
        <v>INFRAESTRUCTURA GUSEV, S.A. DE C.V.</v>
      </c>
      <c r="AA810" s="146" t="s">
        <v>5669</v>
      </c>
      <c r="AB810" s="148" t="s">
        <v>6549</v>
      </c>
      <c r="AC810" s="146" t="s">
        <v>6536</v>
      </c>
      <c r="AD810" s="148" t="s">
        <v>6537</v>
      </c>
      <c r="AE810" s="184" t="str">
        <f>OBRA!Y808</f>
        <v>C. DANIEL RODRIGUEZ VALENZUELA</v>
      </c>
      <c r="AF810" s="19">
        <v>1</v>
      </c>
      <c r="AG810" s="2" t="s">
        <v>6778</v>
      </c>
      <c r="AH810" s="184">
        <f t="shared" si="58"/>
        <v>788.8</v>
      </c>
      <c r="AI810" s="511"/>
      <c r="AJ810" s="507"/>
      <c r="AK810" s="1991">
        <v>1</v>
      </c>
      <c r="AL810" s="626"/>
      <c r="AM810" s="1546"/>
      <c r="AN810" s="565"/>
      <c r="AO810" s="565"/>
      <c r="AP810" s="565"/>
      <c r="AQ810" s="507"/>
      <c r="AR810" s="507"/>
      <c r="AS810" s="512"/>
      <c r="AT810" s="507"/>
      <c r="AU810" s="507"/>
      <c r="AV810" s="507"/>
      <c r="AW810" s="507"/>
      <c r="AX810" s="507"/>
      <c r="AY810" s="507"/>
      <c r="AZ810" s="507"/>
      <c r="BA810" s="507"/>
      <c r="BB810" s="507"/>
      <c r="BC810" s="507"/>
      <c r="BD810" s="507"/>
      <c r="BE810" s="507"/>
      <c r="BF810" s="507"/>
      <c r="BG810" s="507"/>
      <c r="BH810" s="507"/>
      <c r="BI810" s="33"/>
      <c r="BJ810" s="12"/>
    </row>
    <row r="811" spans="1:62" ht="129" hidden="1" customHeight="1">
      <c r="A811" s="16">
        <f>OBRA!K809</f>
        <v>2024</v>
      </c>
      <c r="B811" s="781" t="s">
        <v>3947</v>
      </c>
      <c r="C811" s="781"/>
      <c r="D811" s="24"/>
      <c r="E811" s="2" t="str">
        <f>OBRA!N809</f>
        <v>CUENTA CORRIENTE</v>
      </c>
      <c r="F811" s="512"/>
      <c r="G811" s="156" t="s">
        <v>2864</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4754</v>
      </c>
      <c r="M811" s="173" t="s">
        <v>6717</v>
      </c>
      <c r="N811" s="3" t="str">
        <f>OBRA!R809</f>
        <v>SAN PEDRO TESISTÁN</v>
      </c>
      <c r="O811" s="505" t="s">
        <v>6776</v>
      </c>
      <c r="P811" s="4">
        <f>OBRA!S809</f>
        <v>4605.2</v>
      </c>
      <c r="Q811" s="1045">
        <f t="shared" si="62"/>
        <v>3970</v>
      </c>
      <c r="R811" s="1045" t="s">
        <v>2297</v>
      </c>
      <c r="S811" s="6">
        <f>OBRA!T809</f>
        <v>45432</v>
      </c>
      <c r="T811" s="1156">
        <f>OBRA!W809</f>
        <v>0</v>
      </c>
      <c r="U811" s="5">
        <f>OBRA!U809</f>
        <v>45434</v>
      </c>
      <c r="V811" s="11">
        <f>OBRA!V809</f>
        <v>45478</v>
      </c>
      <c r="W811" s="1557">
        <v>0</v>
      </c>
      <c r="X811" s="1119">
        <f>OBRA!AT809+OBRA!AU809</f>
        <v>0</v>
      </c>
      <c r="Y811" s="1040" t="s">
        <v>6791</v>
      </c>
      <c r="Z811" s="146" t="str">
        <f>OBRA!X809</f>
        <v>INFRAESTRUCTURA GUSEV, S.A. DE C.V.</v>
      </c>
      <c r="AA811" s="146" t="s">
        <v>5669</v>
      </c>
      <c r="AB811" s="148" t="s">
        <v>6549</v>
      </c>
      <c r="AC811" s="146" t="s">
        <v>6536</v>
      </c>
      <c r="AD811" s="148" t="s">
        <v>6537</v>
      </c>
      <c r="AE811" s="184" t="str">
        <f>OBRA!Y809</f>
        <v>C. DANIEL RODRIGUEZ VALENZUELA</v>
      </c>
      <c r="AF811" s="19">
        <v>6</v>
      </c>
      <c r="AG811" s="2" t="s">
        <v>6778</v>
      </c>
      <c r="AH811" s="184">
        <f t="shared" si="58"/>
        <v>767.5333333333333</v>
      </c>
      <c r="AI811" s="511"/>
      <c r="AJ811" s="507"/>
      <c r="AK811" s="1991">
        <v>1</v>
      </c>
      <c r="AL811" s="626"/>
      <c r="AM811" s="1546"/>
      <c r="AN811" s="565"/>
      <c r="AO811" s="565"/>
      <c r="AP811" s="565"/>
      <c r="AQ811" s="507"/>
      <c r="AR811" s="507"/>
      <c r="AS811" s="512"/>
      <c r="AT811" s="507"/>
      <c r="AU811" s="507"/>
      <c r="AV811" s="507"/>
      <c r="AW811" s="507"/>
      <c r="AX811" s="507"/>
      <c r="AY811" s="507"/>
      <c r="AZ811" s="507"/>
      <c r="BA811" s="507"/>
      <c r="BB811" s="507"/>
      <c r="BC811" s="507"/>
      <c r="BD811" s="507"/>
      <c r="BE811" s="507"/>
      <c r="BF811" s="507"/>
      <c r="BG811" s="507"/>
      <c r="BH811" s="507"/>
      <c r="BI811" s="33"/>
      <c r="BJ811" s="12"/>
    </row>
    <row r="812" spans="1:62" ht="66" hidden="1" customHeight="1">
      <c r="A812" s="16">
        <f>OBRA!K810</f>
        <v>2024</v>
      </c>
      <c r="B812" s="781" t="s">
        <v>3947</v>
      </c>
      <c r="C812" s="781"/>
      <c r="D812" s="24"/>
      <c r="E812" s="2" t="str">
        <f>OBRA!N810</f>
        <v>CUENTA CORRIENTE</v>
      </c>
      <c r="F812" s="512"/>
      <c r="G812" s="156" t="s">
        <v>2864</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4748</v>
      </c>
      <c r="M812" s="173" t="s">
        <v>67</v>
      </c>
      <c r="N812" s="3" t="str">
        <f>OBRA!R810</f>
        <v>MUNICIPIO</v>
      </c>
      <c r="O812" s="505" t="s">
        <v>6776</v>
      </c>
      <c r="P812" s="4">
        <f>OBRA!S810</f>
        <v>90828</v>
      </c>
      <c r="Q812" s="1045">
        <f t="shared" si="62"/>
        <v>78300</v>
      </c>
      <c r="R812" s="1045" t="s">
        <v>3957</v>
      </c>
      <c r="S812" s="6">
        <f>OBRA!T810</f>
        <v>45380</v>
      </c>
      <c r="T812" s="1156">
        <f>OBRA!W810</f>
        <v>0</v>
      </c>
      <c r="U812" s="5">
        <f>OBRA!U810</f>
        <v>45383</v>
      </c>
      <c r="V812" s="11">
        <f>OBRA!V810</f>
        <v>45412</v>
      </c>
      <c r="W812" s="1557">
        <v>0</v>
      </c>
      <c r="X812" s="1119">
        <f>OBRA!AT810+OBRA!AU810</f>
        <v>0</v>
      </c>
      <c r="Y812" s="1040" t="s">
        <v>6791</v>
      </c>
      <c r="Z812" s="146" t="str">
        <f>OBRA!X810</f>
        <v xml:space="preserve">DORIA &amp; SAMPIER CONSTRUCTORA, S.A. DE C.V. </v>
      </c>
      <c r="AA812" s="146" t="s">
        <v>5669</v>
      </c>
      <c r="AB812" s="1816" t="s">
        <v>5610</v>
      </c>
      <c r="AC812" s="1817" t="s">
        <v>4404</v>
      </c>
      <c r="AD812" s="148" t="s">
        <v>6574</v>
      </c>
      <c r="AE812" s="184" t="str">
        <f>OBRA!Y810</f>
        <v>C. IMELDA KARINA PÉREZ GONZÁLEZ</v>
      </c>
      <c r="AF812" s="19">
        <v>1</v>
      </c>
      <c r="AG812" s="2" t="s">
        <v>6778</v>
      </c>
      <c r="AH812" s="184">
        <f t="shared" si="58"/>
        <v>90828</v>
      </c>
      <c r="AI812" s="511"/>
      <c r="AJ812" s="507"/>
      <c r="AK812" s="1991">
        <v>1</v>
      </c>
      <c r="AL812" s="626"/>
      <c r="AM812" s="1546"/>
      <c r="AN812" s="565"/>
      <c r="AO812" s="565"/>
      <c r="AP812" s="565"/>
      <c r="AQ812" s="507"/>
      <c r="AR812" s="507"/>
      <c r="AS812" s="512"/>
      <c r="AT812" s="507"/>
      <c r="AU812" s="507"/>
      <c r="AV812" s="507"/>
      <c r="AW812" s="507"/>
      <c r="AX812" s="507"/>
      <c r="AY812" s="507"/>
      <c r="AZ812" s="507"/>
      <c r="BA812" s="507"/>
      <c r="BB812" s="507"/>
      <c r="BC812" s="507"/>
      <c r="BD812" s="507"/>
      <c r="BE812" s="507"/>
      <c r="BF812" s="507"/>
      <c r="BG812" s="507"/>
      <c r="BH812" s="507"/>
      <c r="BI812" s="33"/>
      <c r="BJ812" s="12"/>
    </row>
    <row r="813" spans="1:62" ht="65.25" hidden="1" customHeight="1">
      <c r="A813" s="16">
        <f>OBRA!K811</f>
        <v>2024</v>
      </c>
      <c r="B813" s="781" t="s">
        <v>3947</v>
      </c>
      <c r="C813" s="781"/>
      <c r="D813" s="24"/>
      <c r="E813" s="2" t="str">
        <f>OBRA!N811</f>
        <v>CUENTA CORRIENTE</v>
      </c>
      <c r="F813" s="512"/>
      <c r="G813" s="156" t="s">
        <v>2864</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4748</v>
      </c>
      <c r="M813" s="173" t="s">
        <v>67</v>
      </c>
      <c r="N813" s="3" t="str">
        <f>OBRA!R811</f>
        <v>MUNICIPIO</v>
      </c>
      <c r="O813" s="505" t="s">
        <v>6776</v>
      </c>
      <c r="P813" s="4">
        <f>OBRA!S811</f>
        <v>90828</v>
      </c>
      <c r="Q813" s="1045">
        <f t="shared" si="62"/>
        <v>78300</v>
      </c>
      <c r="R813" s="1045" t="s">
        <v>3957</v>
      </c>
      <c r="S813" s="6">
        <f>OBRA!T811</f>
        <v>45412</v>
      </c>
      <c r="T813" s="1156">
        <f>OBRA!W811</f>
        <v>0</v>
      </c>
      <c r="U813" s="5">
        <f>OBRA!U811</f>
        <v>45413</v>
      </c>
      <c r="V813" s="11">
        <f>OBRA!V811</f>
        <v>45443</v>
      </c>
      <c r="W813" s="1557">
        <v>0</v>
      </c>
      <c r="X813" s="1119">
        <f>OBRA!AT811+OBRA!AU811</f>
        <v>0</v>
      </c>
      <c r="Y813" s="1040" t="s">
        <v>6791</v>
      </c>
      <c r="Z813" s="146" t="str">
        <f>OBRA!X811</f>
        <v xml:space="preserve">DORIA &amp; SAMPIER CONSTRUCTORA, S.A. DE C.V. </v>
      </c>
      <c r="AA813" s="146" t="s">
        <v>5669</v>
      </c>
      <c r="AB813" s="1816" t="s">
        <v>5610</v>
      </c>
      <c r="AC813" s="1817" t="s">
        <v>4404</v>
      </c>
      <c r="AD813" s="148" t="s">
        <v>6574</v>
      </c>
      <c r="AE813" s="184" t="str">
        <f>OBRA!Y811</f>
        <v>C. IMELDA KARINA PÉREZ GONZÁLEZ</v>
      </c>
      <c r="AF813" s="19">
        <v>1</v>
      </c>
      <c r="AG813" s="2" t="s">
        <v>6778</v>
      </c>
      <c r="AH813" s="184">
        <f t="shared" si="58"/>
        <v>90828</v>
      </c>
      <c r="AI813" s="511"/>
      <c r="AJ813" s="507"/>
      <c r="AK813" s="1991">
        <v>1</v>
      </c>
      <c r="AL813" s="626"/>
      <c r="AM813" s="1546"/>
      <c r="AN813" s="565"/>
      <c r="AO813" s="565"/>
      <c r="AP813" s="565"/>
      <c r="AQ813" s="507"/>
      <c r="AR813" s="507"/>
      <c r="AS813" s="512"/>
      <c r="AT813" s="507"/>
      <c r="AU813" s="507"/>
      <c r="AV813" s="507"/>
      <c r="AW813" s="507"/>
      <c r="AX813" s="507"/>
      <c r="AY813" s="507"/>
      <c r="AZ813" s="507"/>
      <c r="BA813" s="507"/>
      <c r="BB813" s="507"/>
      <c r="BC813" s="507"/>
      <c r="BD813" s="507"/>
      <c r="BE813" s="507"/>
      <c r="BF813" s="507"/>
      <c r="BG813" s="507"/>
      <c r="BH813" s="507"/>
      <c r="BI813" s="33"/>
      <c r="BJ813" s="12"/>
    </row>
    <row r="814" spans="1:62" ht="78" hidden="1" customHeight="1">
      <c r="A814" s="16">
        <f>OBRA!K812</f>
        <v>2024</v>
      </c>
      <c r="B814" s="781" t="s">
        <v>3947</v>
      </c>
      <c r="C814" s="781"/>
      <c r="D814" s="24"/>
      <c r="E814" s="2" t="str">
        <f>OBRA!N812</f>
        <v>CUENTA CORRIENTE</v>
      </c>
      <c r="F814" s="512"/>
      <c r="G814" s="156" t="s">
        <v>2864</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4748</v>
      </c>
      <c r="M814" s="173" t="s">
        <v>67</v>
      </c>
      <c r="N814" s="3" t="str">
        <f>OBRA!R812</f>
        <v>MUNICIPIO</v>
      </c>
      <c r="O814" s="505" t="s">
        <v>6776</v>
      </c>
      <c r="P814" s="4">
        <f>OBRA!S812</f>
        <v>3711.9999999999995</v>
      </c>
      <c r="Q814" s="1045">
        <f t="shared" si="62"/>
        <v>3200</v>
      </c>
      <c r="R814" s="1045" t="s">
        <v>5594</v>
      </c>
      <c r="S814" s="6">
        <f>OBRA!T812</f>
        <v>45443</v>
      </c>
      <c r="T814" s="1156">
        <f>OBRA!W812</f>
        <v>0</v>
      </c>
      <c r="U814" s="5">
        <f>OBRA!U812</f>
        <v>45446</v>
      </c>
      <c r="V814" s="11">
        <f>OBRA!V812</f>
        <v>45453</v>
      </c>
      <c r="W814" s="1557">
        <v>0</v>
      </c>
      <c r="X814" s="1119">
        <f>OBRA!AT812+OBRA!AU812</f>
        <v>0</v>
      </c>
      <c r="Y814" s="1040" t="s">
        <v>6791</v>
      </c>
      <c r="Z814" s="146" t="str">
        <f>OBRA!X812</f>
        <v>TERRACERÍAS Y PAVIMENTOS DE LA RIBERA, S.A. DE C.V.</v>
      </c>
      <c r="AA814" s="146" t="s">
        <v>5669</v>
      </c>
      <c r="AB814" s="1828" t="s">
        <v>4447</v>
      </c>
      <c r="AC814" s="1829" t="s">
        <v>3473</v>
      </c>
      <c r="AD814" s="1828" t="s">
        <v>6073</v>
      </c>
      <c r="AE814" s="184" t="str">
        <f>OBRA!Y812</f>
        <v>C. IMELDA KARINA PÉREZ GONZÁLEZ</v>
      </c>
      <c r="AF814" s="19">
        <v>1</v>
      </c>
      <c r="AG814" s="2" t="s">
        <v>6778</v>
      </c>
      <c r="AH814" s="184">
        <f t="shared" si="58"/>
        <v>3711.9999999999995</v>
      </c>
      <c r="AI814" s="511"/>
      <c r="AJ814" s="507"/>
      <c r="AK814" s="1991">
        <v>1</v>
      </c>
      <c r="AL814" s="626"/>
      <c r="AM814" s="1546"/>
      <c r="AN814" s="565"/>
      <c r="AO814" s="565"/>
      <c r="AP814" s="565"/>
      <c r="AQ814" s="507"/>
      <c r="AR814" s="507"/>
      <c r="AS814" s="512"/>
      <c r="AT814" s="507"/>
      <c r="AU814" s="507"/>
      <c r="AV814" s="507"/>
      <c r="AW814" s="507"/>
      <c r="AX814" s="507"/>
      <c r="AY814" s="507"/>
      <c r="AZ814" s="507"/>
      <c r="BA814" s="507"/>
      <c r="BB814" s="507"/>
      <c r="BC814" s="507"/>
      <c r="BD814" s="507"/>
      <c r="BE814" s="507"/>
      <c r="BF814" s="507"/>
      <c r="BG814" s="507"/>
      <c r="BH814" s="507"/>
      <c r="BI814" s="33"/>
      <c r="BJ814" s="12"/>
    </row>
    <row r="815" spans="1:62" ht="84.75" hidden="1" customHeight="1">
      <c r="A815" s="16">
        <f>OBRA!K813</f>
        <v>2024</v>
      </c>
      <c r="B815" s="781" t="s">
        <v>3947</v>
      </c>
      <c r="C815" s="781"/>
      <c r="D815" s="24"/>
      <c r="E815" s="2" t="str">
        <f>OBRA!N813</f>
        <v>CUENTA CORRIENTE</v>
      </c>
      <c r="F815" s="512"/>
      <c r="G815" s="156" t="s">
        <v>2864</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4748</v>
      </c>
      <c r="M815" s="173" t="s">
        <v>67</v>
      </c>
      <c r="N815" s="3" t="str">
        <f>OBRA!R813</f>
        <v>CABECERA MUNICIPAL</v>
      </c>
      <c r="O815" s="505" t="s">
        <v>6776</v>
      </c>
      <c r="P815" s="4">
        <f>OBRA!S813</f>
        <v>696</v>
      </c>
      <c r="Q815" s="1045">
        <f t="shared" si="62"/>
        <v>600</v>
      </c>
      <c r="R815" s="1045" t="s">
        <v>2297</v>
      </c>
      <c r="S815" s="6">
        <f>OBRA!T813</f>
        <v>45372</v>
      </c>
      <c r="T815" s="1156">
        <f>OBRA!W813</f>
        <v>0</v>
      </c>
      <c r="U815" s="5">
        <f>OBRA!U813</f>
        <v>45358</v>
      </c>
      <c r="V815" s="11">
        <f>OBRA!V813</f>
        <v>45363</v>
      </c>
      <c r="W815" s="1557">
        <v>0</v>
      </c>
      <c r="X815" s="1119">
        <f>OBRA!AT813+OBRA!AU813</f>
        <v>0</v>
      </c>
      <c r="Y815" s="1040" t="s">
        <v>6791</v>
      </c>
      <c r="Z815" s="146" t="str">
        <f>OBRA!X813</f>
        <v>INFRAESTRUCTURA GUSEV, S.A. DE C.V.</v>
      </c>
      <c r="AA815" s="146" t="s">
        <v>5669</v>
      </c>
      <c r="AB815" s="148" t="s">
        <v>6549</v>
      </c>
      <c r="AC815" s="146" t="s">
        <v>6536</v>
      </c>
      <c r="AD815" s="148" t="s">
        <v>6537</v>
      </c>
      <c r="AE815" s="184" t="str">
        <f>OBRA!Y813</f>
        <v>ING. J. GUADALUPE IBARRA RAMIREZ</v>
      </c>
      <c r="AF815" s="19">
        <v>1</v>
      </c>
      <c r="AG815" s="2" t="s">
        <v>6778</v>
      </c>
      <c r="AH815" s="184">
        <f t="shared" si="58"/>
        <v>696</v>
      </c>
      <c r="AI815" s="511"/>
      <c r="AJ815" s="507"/>
      <c r="AK815" s="1991">
        <v>1</v>
      </c>
      <c r="AL815" s="626"/>
      <c r="AM815" s="1546"/>
      <c r="AN815" s="565"/>
      <c r="AO815" s="565"/>
      <c r="AP815" s="565"/>
      <c r="AQ815" s="507"/>
      <c r="AR815" s="507"/>
      <c r="AS815" s="512"/>
      <c r="AT815" s="507"/>
      <c r="AU815" s="507"/>
      <c r="AV815" s="507"/>
      <c r="AW815" s="507"/>
      <c r="AX815" s="507"/>
      <c r="AY815" s="507"/>
      <c r="AZ815" s="507"/>
      <c r="BA815" s="507"/>
      <c r="BB815" s="507"/>
      <c r="BC815" s="507"/>
      <c r="BD815" s="507"/>
      <c r="BE815" s="507"/>
      <c r="BF815" s="507"/>
      <c r="BG815" s="507"/>
      <c r="BH815" s="507"/>
      <c r="BI815" s="33"/>
      <c r="BJ815" s="12"/>
    </row>
    <row r="816" spans="1:62" ht="126.75" hidden="1" customHeight="1">
      <c r="A816" s="16">
        <f>OBRA!K814</f>
        <v>2024</v>
      </c>
      <c r="B816" s="781" t="s">
        <v>3947</v>
      </c>
      <c r="C816" s="781"/>
      <c r="D816" s="24"/>
      <c r="E816" s="2" t="str">
        <f>OBRA!N814</f>
        <v>CUENTA CORRIENTE</v>
      </c>
      <c r="F816" s="512"/>
      <c r="G816" s="156" t="s">
        <v>2864</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4750</v>
      </c>
      <c r="M816" s="173" t="s">
        <v>6317</v>
      </c>
      <c r="N816" s="3" t="str">
        <f>OBRA!R814</f>
        <v>CHANTEPEC</v>
      </c>
      <c r="O816" s="505" t="s">
        <v>6776</v>
      </c>
      <c r="P816" s="4">
        <f>OBRA!S814</f>
        <v>3329.2</v>
      </c>
      <c r="Q816" s="1045">
        <f t="shared" si="62"/>
        <v>2870</v>
      </c>
      <c r="R816" s="1045" t="s">
        <v>2297</v>
      </c>
      <c r="S816" s="6">
        <f>OBRA!T814</f>
        <v>45415</v>
      </c>
      <c r="T816" s="1156">
        <f>OBRA!W814</f>
        <v>0</v>
      </c>
      <c r="U816" s="5">
        <f>OBRA!U814</f>
        <v>45418</v>
      </c>
      <c r="V816" s="11">
        <f>OBRA!V814</f>
        <v>45437</v>
      </c>
      <c r="W816" s="1557">
        <v>0</v>
      </c>
      <c r="X816" s="1119">
        <f>OBRA!AT814+OBRA!AU814</f>
        <v>0</v>
      </c>
      <c r="Y816" s="1040" t="s">
        <v>6791</v>
      </c>
      <c r="Z816" s="146" t="str">
        <f>OBRA!X814</f>
        <v>INFRAESTRUCTURA GUSEV, S.A. DE C.V.</v>
      </c>
      <c r="AA816" s="146" t="s">
        <v>5669</v>
      </c>
      <c r="AB816" s="148" t="s">
        <v>6549</v>
      </c>
      <c r="AC816" s="146" t="s">
        <v>6536</v>
      </c>
      <c r="AD816" s="148" t="s">
        <v>6537</v>
      </c>
      <c r="AE816" s="184" t="str">
        <f>OBRA!Y814</f>
        <v>C. DANIEL RODRIGUEZ VALENZUELA</v>
      </c>
      <c r="AF816" s="19">
        <v>4</v>
      </c>
      <c r="AG816" s="2" t="s">
        <v>6778</v>
      </c>
      <c r="AH816" s="184">
        <f t="shared" si="58"/>
        <v>832.3</v>
      </c>
      <c r="AI816" s="511"/>
      <c r="AJ816" s="507"/>
      <c r="AK816" s="1991">
        <v>1</v>
      </c>
      <c r="AL816" s="626"/>
      <c r="AM816" s="1546"/>
      <c r="AN816" s="565"/>
      <c r="AO816" s="565"/>
      <c r="AP816" s="565"/>
      <c r="AQ816" s="507"/>
      <c r="AR816" s="507"/>
      <c r="AS816" s="512"/>
      <c r="AT816" s="507"/>
      <c r="AU816" s="507"/>
      <c r="AV816" s="507"/>
      <c r="AW816" s="507"/>
      <c r="AX816" s="507"/>
      <c r="AY816" s="507"/>
      <c r="AZ816" s="507"/>
      <c r="BA816" s="507"/>
      <c r="BB816" s="507"/>
      <c r="BC816" s="507"/>
      <c r="BD816" s="507"/>
      <c r="BE816" s="507"/>
      <c r="BF816" s="507"/>
      <c r="BG816" s="507"/>
      <c r="BH816" s="507"/>
      <c r="BI816" s="33"/>
      <c r="BJ816" s="12"/>
    </row>
    <row r="817" spans="1:63" ht="15" hidden="1" customHeight="1">
      <c r="A817" s="16">
        <f>OBRA!K815</f>
        <v>2024</v>
      </c>
      <c r="B817" s="781" t="s">
        <v>3947</v>
      </c>
      <c r="C817" s="781"/>
      <c r="D817" s="24"/>
      <c r="E817" s="2" t="str">
        <f>OBRA!N815</f>
        <v>CUENTA CORRIENTE</v>
      </c>
      <c r="F817" s="512"/>
      <c r="G817" s="156" t="s">
        <v>2864</v>
      </c>
      <c r="H817" s="12" t="str">
        <f>OBRA!O815</f>
        <v>C- OP 019/2024</v>
      </c>
      <c r="I817" s="2" t="str">
        <f>OBRA!P815</f>
        <v>CANCELADA</v>
      </c>
      <c r="J817" s="3" t="str">
        <f>OBRA!Q815</f>
        <v>CANCELADA</v>
      </c>
      <c r="K817" s="544"/>
      <c r="L817" s="3" t="s">
        <v>67</v>
      </c>
      <c r="M817" s="1959" t="s">
        <v>67</v>
      </c>
      <c r="N817" s="3" t="str">
        <f>OBRA!R815</f>
        <v>-</v>
      </c>
      <c r="O817" s="532"/>
      <c r="P817" s="4">
        <f>OBRA!S815</f>
        <v>0</v>
      </c>
      <c r="Q817" s="1045">
        <f t="shared" si="62"/>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 t="shared" ref="AH817:AH831" si="63">X817/AF817</f>
        <v>#DIV/0!</v>
      </c>
      <c r="AI817" s="511"/>
      <c r="AJ817" s="507"/>
      <c r="AK817" s="507"/>
      <c r="AL817" s="626"/>
      <c r="AM817" s="1546"/>
      <c r="AN817" s="565"/>
      <c r="AO817" s="565"/>
      <c r="AP817" s="565"/>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hidden="1" customHeight="1">
      <c r="A818" s="16">
        <f>OBRA!K816</f>
        <v>2024</v>
      </c>
      <c r="B818" s="781" t="s">
        <v>3947</v>
      </c>
      <c r="C818" s="781"/>
      <c r="D818" s="24"/>
      <c r="E818" s="2" t="str">
        <f>OBRA!N816</f>
        <v>CUENTA CORRIENTE</v>
      </c>
      <c r="F818" s="512"/>
      <c r="G818" s="156" t="s">
        <v>2864</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4750</v>
      </c>
      <c r="M818" s="173" t="s">
        <v>6740</v>
      </c>
      <c r="N818" s="3" t="str">
        <f>OBRA!R816</f>
        <v>MPIO: CABECERA Y CHANTEPEC</v>
      </c>
      <c r="O818" s="505" t="s">
        <v>6776</v>
      </c>
      <c r="P818" s="4">
        <f>OBRA!S816</f>
        <v>2888.3999999999996</v>
      </c>
      <c r="Q818" s="1045">
        <f t="shared" si="62"/>
        <v>2490</v>
      </c>
      <c r="R818" s="1045" t="s">
        <v>2297</v>
      </c>
      <c r="S818" s="6">
        <f>OBRA!T816</f>
        <v>45468</v>
      </c>
      <c r="T818" s="1156">
        <f>OBRA!W816</f>
        <v>0</v>
      </c>
      <c r="U818" s="5">
        <f>OBRA!U816</f>
        <v>45469</v>
      </c>
      <c r="V818" s="11">
        <f>OBRA!V816</f>
        <v>45499</v>
      </c>
      <c r="W818" s="1557">
        <v>0</v>
      </c>
      <c r="X818" s="1119">
        <f>OBRA!AT816+OBRA!AU816</f>
        <v>0</v>
      </c>
      <c r="Y818" s="1040" t="s">
        <v>6791</v>
      </c>
      <c r="Z818" s="146" t="str">
        <f>OBRA!X816</f>
        <v>GURPO CONSTRUCTOR GASPEC, S.A. DE C.V.</v>
      </c>
      <c r="AA818" s="146" t="s">
        <v>5669</v>
      </c>
      <c r="AB818" s="148" t="s">
        <v>6760</v>
      </c>
      <c r="AC818" s="163"/>
      <c r="AD818" s="1193"/>
      <c r="AE818" s="184" t="str">
        <f>OBRA!Y816</f>
        <v>C. DANIEL RODRIGUEZ VALENZUELA</v>
      </c>
      <c r="AF818" s="19">
        <v>3</v>
      </c>
      <c r="AG818" s="2" t="s">
        <v>6778</v>
      </c>
      <c r="AH818" s="184">
        <f>P818/AF818</f>
        <v>962.79999999999984</v>
      </c>
      <c r="AI818" s="511"/>
      <c r="AJ818" s="507"/>
      <c r="AK818" s="1991">
        <v>1</v>
      </c>
      <c r="AL818" s="626"/>
      <c r="AM818" s="1546"/>
      <c r="AN818" s="565"/>
      <c r="AO818" s="565"/>
      <c r="AP818" s="565"/>
      <c r="AQ818" s="507"/>
      <c r="AR818" s="507"/>
      <c r="AS818" s="512"/>
      <c r="AT818" s="507"/>
      <c r="AU818" s="507"/>
      <c r="AV818" s="507"/>
      <c r="AW818" s="507"/>
      <c r="AX818" s="507"/>
      <c r="AY818" s="507"/>
      <c r="AZ818" s="507"/>
      <c r="BA818" s="507"/>
      <c r="BB818" s="507"/>
      <c r="BC818" s="507"/>
      <c r="BD818" s="507"/>
      <c r="BE818" s="507"/>
      <c r="BF818" s="507"/>
      <c r="BG818" s="507"/>
      <c r="BH818" s="507"/>
      <c r="BI818" s="33"/>
      <c r="BJ818" s="12"/>
    </row>
    <row r="819" spans="1:63" ht="123" hidden="1" customHeight="1">
      <c r="A819" s="16">
        <f>OBRA!K817</f>
        <v>2024</v>
      </c>
      <c r="B819" s="781" t="s">
        <v>3947</v>
      </c>
      <c r="C819" s="781"/>
      <c r="D819" s="24"/>
      <c r="E819" s="2" t="str">
        <f>OBRA!N817</f>
        <v>CUENTA CORRIENTE</v>
      </c>
      <c r="F819" s="512"/>
      <c r="G819" s="156" t="s">
        <v>2864</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6367</v>
      </c>
      <c r="M819" s="173" t="s">
        <v>6741</v>
      </c>
      <c r="N819" s="3" t="str">
        <f>OBRA!R817</f>
        <v>LAS TROJES</v>
      </c>
      <c r="O819" s="505" t="s">
        <v>6777</v>
      </c>
      <c r="P819" s="4">
        <f>OBRA!S817</f>
        <v>1252.8</v>
      </c>
      <c r="Q819" s="1045">
        <f t="shared" si="62"/>
        <v>1080</v>
      </c>
      <c r="R819" s="1045" t="s">
        <v>5594</v>
      </c>
      <c r="S819" s="6">
        <f>OBRA!T817</f>
        <v>45397</v>
      </c>
      <c r="T819" s="1156">
        <f>OBRA!W817</f>
        <v>0</v>
      </c>
      <c r="U819" s="5">
        <f>OBRA!U817</f>
        <v>45399</v>
      </c>
      <c r="V819" s="11">
        <f>OBRA!V817</f>
        <v>45434</v>
      </c>
      <c r="W819" s="1557">
        <v>0</v>
      </c>
      <c r="X819" s="1119">
        <f>OBRA!AT817+OBRA!AU817</f>
        <v>0</v>
      </c>
      <c r="Y819" s="1040" t="s">
        <v>6791</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6778</v>
      </c>
      <c r="AH819" s="184">
        <f>P819/AF819</f>
        <v>626.4</v>
      </c>
      <c r="AI819" s="511"/>
      <c r="AJ819" s="507"/>
      <c r="AK819" s="1991">
        <v>1</v>
      </c>
      <c r="AL819" s="626"/>
      <c r="AM819" s="1546"/>
      <c r="AN819" s="565"/>
      <c r="AO819" s="565"/>
      <c r="AP819" s="565"/>
      <c r="AQ819" s="507"/>
      <c r="AR819" s="507"/>
      <c r="AS819" s="512"/>
      <c r="AT819" s="507"/>
      <c r="AU819" s="507"/>
      <c r="AV819" s="507"/>
      <c r="AW819" s="507"/>
      <c r="AX819" s="507"/>
      <c r="AY819" s="507"/>
      <c r="AZ819" s="507"/>
      <c r="BA819" s="507"/>
      <c r="BB819" s="507"/>
      <c r="BC819" s="507"/>
      <c r="BD819" s="507"/>
      <c r="BE819" s="507"/>
      <c r="BF819" s="507"/>
      <c r="BG819" s="507"/>
      <c r="BH819" s="507"/>
      <c r="BI819" s="33"/>
      <c r="BJ819" s="12"/>
    </row>
    <row r="820" spans="1:63" ht="15" hidden="1" customHeight="1">
      <c r="A820" s="16">
        <f>OBRA!K818</f>
        <v>2024</v>
      </c>
      <c r="B820" s="781" t="s">
        <v>3947</v>
      </c>
      <c r="C820" s="781"/>
      <c r="D820" s="24"/>
      <c r="E820" s="2" t="str">
        <f>OBRA!N818</f>
        <v>CUENTA CORRIENTE</v>
      </c>
      <c r="F820" s="512"/>
      <c r="G820" s="156" t="s">
        <v>2864</v>
      </c>
      <c r="H820" s="12" t="str">
        <f>OBRA!O818</f>
        <v>C- OP 022/2024</v>
      </c>
      <c r="I820" s="2" t="str">
        <f>OBRA!P818</f>
        <v>CANCELADA</v>
      </c>
      <c r="J820" s="3" t="str">
        <f>OBRA!Q818</f>
        <v>CANCELADA</v>
      </c>
      <c r="K820" s="544"/>
      <c r="L820" s="3" t="s">
        <v>67</v>
      </c>
      <c r="M820" s="1959" t="s">
        <v>67</v>
      </c>
      <c r="N820" s="3" t="str">
        <f>OBRA!R818</f>
        <v>-</v>
      </c>
      <c r="O820" s="532"/>
      <c r="P820" s="4">
        <f>OBRA!S818</f>
        <v>0</v>
      </c>
      <c r="Q820" s="1045">
        <f t="shared" ref="Q820:Q825" si="64">P820/1.16</f>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 t="shared" si="63"/>
        <v>#DIV/0!</v>
      </c>
      <c r="AI820" s="511"/>
      <c r="AJ820" s="507"/>
      <c r="AK820" s="507"/>
      <c r="AL820" s="626"/>
      <c r="AM820" s="1546"/>
      <c r="AN820" s="565"/>
      <c r="AO820" s="565"/>
      <c r="AP820" s="565"/>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hidden="1" customHeight="1">
      <c r="A821" s="16">
        <f>OBRA!K819</f>
        <v>2024</v>
      </c>
      <c r="B821" s="781" t="s">
        <v>3947</v>
      </c>
      <c r="C821" s="781"/>
      <c r="D821" s="24"/>
      <c r="E821" s="2" t="str">
        <f>OBRA!N819</f>
        <v>CUENTA CORRIENTE</v>
      </c>
      <c r="F821" s="512"/>
      <c r="G821" s="156" t="s">
        <v>2864</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4754</v>
      </c>
      <c r="M821" s="173" t="s">
        <v>6742</v>
      </c>
      <c r="N821" s="3" t="str">
        <f>OBRA!R819</f>
        <v>CABECERA MUNICIPAL</v>
      </c>
      <c r="O821" s="505" t="s">
        <v>6777</v>
      </c>
      <c r="P821" s="4">
        <f>OBRA!S819</f>
        <v>1400.0039999999999</v>
      </c>
      <c r="Q821" s="1045">
        <f t="shared" si="64"/>
        <v>1206.9000000000001</v>
      </c>
      <c r="R821" s="1045" t="s">
        <v>2297</v>
      </c>
      <c r="S821" s="6">
        <f>OBRA!T819</f>
        <v>45491</v>
      </c>
      <c r="T821" s="1156">
        <f>OBRA!W819</f>
        <v>0</v>
      </c>
      <c r="U821" s="5">
        <f>OBRA!U819</f>
        <v>45495</v>
      </c>
      <c r="V821" s="11">
        <f>OBRA!V819</f>
        <v>45504</v>
      </c>
      <c r="W821" s="1557">
        <v>0</v>
      </c>
      <c r="X821" s="1119">
        <f>OBRA!AT819+OBRA!AU819</f>
        <v>0</v>
      </c>
      <c r="Y821" s="1040" t="s">
        <v>6791</v>
      </c>
      <c r="Z821" s="146" t="str">
        <f>OBRA!X819</f>
        <v>TERRACERÍAS Y PAVIMENTOS DE LA RIBERA, S.A. DE C.V.</v>
      </c>
      <c r="AA821" s="146" t="s">
        <v>5669</v>
      </c>
      <c r="AB821" s="1828" t="s">
        <v>4447</v>
      </c>
      <c r="AC821" s="1829" t="s">
        <v>3473</v>
      </c>
      <c r="AD821" s="1828" t="s">
        <v>6073</v>
      </c>
      <c r="AE821" s="184" t="str">
        <f>OBRA!Y819</f>
        <v>ING. LUIS RIGOBERTO OLMEDO NAVARRO</v>
      </c>
      <c r="AF821" s="19">
        <v>2</v>
      </c>
      <c r="AG821" s="2" t="s">
        <v>6778</v>
      </c>
      <c r="AH821" s="184">
        <f>P821/AF821</f>
        <v>700.00199999999995</v>
      </c>
      <c r="AI821" s="511"/>
      <c r="AJ821" s="507"/>
      <c r="AK821" s="1991">
        <v>1</v>
      </c>
      <c r="AL821" s="626"/>
      <c r="AM821" s="1546"/>
      <c r="AN821" s="565"/>
      <c r="AO821" s="565"/>
      <c r="AP821" s="565"/>
      <c r="AQ821" s="507"/>
      <c r="AR821" s="507"/>
      <c r="AS821" s="512"/>
      <c r="AT821" s="507"/>
      <c r="AU821" s="507"/>
      <c r="AV821" s="507"/>
      <c r="AW821" s="507"/>
      <c r="AX821" s="507"/>
      <c r="AY821" s="507"/>
      <c r="AZ821" s="507"/>
      <c r="BA821" s="507"/>
      <c r="BB821" s="507"/>
      <c r="BC821" s="507"/>
      <c r="BD821" s="507"/>
      <c r="BE821" s="507"/>
      <c r="BF821" s="507"/>
      <c r="BG821" s="507"/>
      <c r="BH821" s="507"/>
      <c r="BI821" s="33"/>
      <c r="BJ821" s="12"/>
    </row>
    <row r="822" spans="1:63" ht="129" hidden="1" customHeight="1">
      <c r="A822" s="16">
        <f>OBRA!K820</f>
        <v>2024</v>
      </c>
      <c r="B822" s="781" t="s">
        <v>3947</v>
      </c>
      <c r="C822" s="781"/>
      <c r="D822" s="24"/>
      <c r="E822" s="2" t="str">
        <f>OBRA!N820</f>
        <v>CUENTA CORRIENTE</v>
      </c>
      <c r="F822" s="512"/>
      <c r="G822" s="156" t="s">
        <v>2864</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6367</v>
      </c>
      <c r="M822" s="173" t="s">
        <v>6743</v>
      </c>
      <c r="N822" s="3" t="str">
        <f>OBRA!R820</f>
        <v>CABECERA MUNICIPAL</v>
      </c>
      <c r="O822" s="505" t="s">
        <v>6777</v>
      </c>
      <c r="P822" s="4">
        <f>OBRA!S820</f>
        <v>9512</v>
      </c>
      <c r="Q822" s="1045">
        <f t="shared" si="64"/>
        <v>8200</v>
      </c>
      <c r="R822" s="1045" t="s">
        <v>6748</v>
      </c>
      <c r="S822" s="6">
        <f>OBRA!T820</f>
        <v>45531</v>
      </c>
      <c r="T822" s="1156">
        <f>OBRA!W820</f>
        <v>0</v>
      </c>
      <c r="U822" s="5">
        <f>OBRA!U820</f>
        <v>45533</v>
      </c>
      <c r="V822" s="11">
        <f>OBRA!V820</f>
        <v>45537</v>
      </c>
      <c r="W822" s="1557">
        <v>0</v>
      </c>
      <c r="X822" s="1119">
        <f>OBRA!AT820+OBRA!AU820</f>
        <v>0</v>
      </c>
      <c r="Y822" s="1040" t="s">
        <v>6791</v>
      </c>
      <c r="Z822" s="146" t="str">
        <f>OBRA!X820</f>
        <v>ING. SERGIO CABRERA</v>
      </c>
      <c r="AA822" s="146" t="s">
        <v>5668</v>
      </c>
      <c r="AB822" s="1816" t="s">
        <v>4447</v>
      </c>
      <c r="AC822" s="146" t="s">
        <v>1922</v>
      </c>
      <c r="AD822" s="148" t="s">
        <v>6049</v>
      </c>
      <c r="AE822" s="184" t="str">
        <f>OBRA!Y820</f>
        <v>C. DANIEL RODRIGUEZ VALENZUELA</v>
      </c>
      <c r="AF822" s="19">
        <v>4</v>
      </c>
      <c r="AG822" s="2" t="s">
        <v>6778</v>
      </c>
      <c r="AH822" s="184">
        <f>P822/AF822</f>
        <v>2378</v>
      </c>
      <c r="AI822" s="511"/>
      <c r="AJ822" s="507"/>
      <c r="AK822" s="1991">
        <v>1</v>
      </c>
      <c r="AL822" s="626"/>
      <c r="AM822" s="1546"/>
      <c r="AN822" s="565"/>
      <c r="AO822" s="565"/>
      <c r="AP822" s="565"/>
      <c r="AQ822" s="507"/>
      <c r="AR822" s="507"/>
      <c r="AS822" s="512"/>
      <c r="AT822" s="507"/>
      <c r="AU822" s="507"/>
      <c r="AV822" s="507"/>
      <c r="AW822" s="507"/>
      <c r="AX822" s="507"/>
      <c r="AY822" s="507"/>
      <c r="AZ822" s="507"/>
      <c r="BA822" s="507"/>
      <c r="BB822" s="507"/>
      <c r="BC822" s="507"/>
      <c r="BD822" s="507"/>
      <c r="BE822" s="507"/>
      <c r="BF822" s="507"/>
      <c r="BG822" s="507"/>
      <c r="BH822" s="507"/>
      <c r="BI822" s="33"/>
      <c r="BJ822" s="12"/>
    </row>
    <row r="823" spans="1:63" ht="147" hidden="1" customHeight="1">
      <c r="A823" s="16">
        <f>OBRA!K821</f>
        <v>2024</v>
      </c>
      <c r="B823" s="781" t="s">
        <v>3947</v>
      </c>
      <c r="C823" s="781"/>
      <c r="D823" s="24"/>
      <c r="E823" s="2" t="str">
        <f>OBRA!N821</f>
        <v>CUENTA CORRIENTE</v>
      </c>
      <c r="F823" s="512"/>
      <c r="G823" s="156" t="s">
        <v>2864</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4755</v>
      </c>
      <c r="M823" s="173" t="s">
        <v>6733</v>
      </c>
      <c r="N823" s="3" t="str">
        <f>OBRA!R821</f>
        <v>CABECERA MUNICIPAL</v>
      </c>
      <c r="O823" s="505" t="s">
        <v>6777</v>
      </c>
      <c r="P823" s="4">
        <f>OBRA!S821</f>
        <v>4452.1611999999996</v>
      </c>
      <c r="Q823" s="1045">
        <f t="shared" si="64"/>
        <v>3838.0699999999997</v>
      </c>
      <c r="R823" s="1045" t="s">
        <v>2297</v>
      </c>
      <c r="S823" s="6">
        <f>OBRA!T821</f>
        <v>45474</v>
      </c>
      <c r="T823" s="1156">
        <f>OBRA!W821</f>
        <v>0</v>
      </c>
      <c r="U823" s="5">
        <f>OBRA!U821</f>
        <v>45488</v>
      </c>
      <c r="V823" s="11">
        <f>OBRA!V821</f>
        <v>45545</v>
      </c>
      <c r="W823" s="1557">
        <v>0</v>
      </c>
      <c r="X823" s="1119">
        <f>OBRA!AT821+OBRA!AU821</f>
        <v>0</v>
      </c>
      <c r="Y823" s="1040" t="s">
        <v>6791</v>
      </c>
      <c r="Z823" s="146" t="str">
        <f>OBRA!X821</f>
        <v>GURPO CONSTRUCTOR GASPEC, S.A. DE C.V.</v>
      </c>
      <c r="AA823" s="146" t="s">
        <v>5669</v>
      </c>
      <c r="AB823" s="148" t="s">
        <v>6760</v>
      </c>
      <c r="AC823" s="163"/>
      <c r="AD823" s="1193"/>
      <c r="AE823" s="184" t="str">
        <f>OBRA!Y821</f>
        <v>C. DANIEL RODRIGUEZ VALENZUELA</v>
      </c>
      <c r="AF823" s="19">
        <v>6</v>
      </c>
      <c r="AG823" s="2" t="s">
        <v>6778</v>
      </c>
      <c r="AH823" s="184">
        <f>P823/AF823</f>
        <v>742.02686666666659</v>
      </c>
      <c r="AI823" s="511"/>
      <c r="AJ823" s="507"/>
      <c r="AK823" s="1991">
        <v>1</v>
      </c>
      <c r="AL823" s="626"/>
      <c r="AM823" s="1546"/>
      <c r="AN823" s="565"/>
      <c r="AO823" s="565"/>
      <c r="AP823" s="565"/>
      <c r="AQ823" s="507"/>
      <c r="AR823" s="507"/>
      <c r="AS823" s="512"/>
      <c r="AT823" s="507"/>
      <c r="AU823" s="507"/>
      <c r="AV823" s="507"/>
      <c r="AW823" s="507"/>
      <c r="AX823" s="507"/>
      <c r="AY823" s="507"/>
      <c r="AZ823" s="507"/>
      <c r="BA823" s="507"/>
      <c r="BB823" s="507"/>
      <c r="BC823" s="507"/>
      <c r="BD823" s="507"/>
      <c r="BE823" s="507"/>
      <c r="BF823" s="507"/>
      <c r="BG823" s="507"/>
      <c r="BH823" s="507"/>
      <c r="BI823" s="33"/>
      <c r="BJ823" s="12"/>
    </row>
    <row r="824" spans="1:63" ht="168.75" hidden="1" customHeight="1">
      <c r="A824" s="16">
        <f>OBRA!K822</f>
        <v>2024</v>
      </c>
      <c r="B824" s="781" t="s">
        <v>3947</v>
      </c>
      <c r="C824" s="781"/>
      <c r="D824" s="24"/>
      <c r="E824" s="2" t="str">
        <f>OBRA!N822</f>
        <v>CUENTA CORRIENTE</v>
      </c>
      <c r="F824" s="512"/>
      <c r="G824" s="156" t="s">
        <v>2864</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4755</v>
      </c>
      <c r="M824" s="173" t="s">
        <v>6733</v>
      </c>
      <c r="N824" s="3" t="str">
        <f>OBRA!R822</f>
        <v>CABECERA MUNICIPAL</v>
      </c>
      <c r="O824" s="505" t="s">
        <v>6777</v>
      </c>
      <c r="P824" s="4">
        <f>OBRA!S822</f>
        <v>4452.1611999999996</v>
      </c>
      <c r="Q824" s="1045">
        <f t="shared" si="64"/>
        <v>3838.0699999999997</v>
      </c>
      <c r="R824" s="1045" t="s">
        <v>2297</v>
      </c>
      <c r="S824" s="6">
        <f>OBRA!T822</f>
        <v>45474</v>
      </c>
      <c r="T824" s="1156">
        <f>OBRA!W822</f>
        <v>0</v>
      </c>
      <c r="U824" s="5">
        <f>OBRA!U822</f>
        <v>45488</v>
      </c>
      <c r="V824" s="11">
        <f>OBRA!V822</f>
        <v>45545</v>
      </c>
      <c r="W824" s="1557">
        <v>0</v>
      </c>
      <c r="X824" s="1119">
        <f>OBRA!AT822+OBRA!AU822</f>
        <v>0</v>
      </c>
      <c r="Y824" s="1040" t="s">
        <v>6791</v>
      </c>
      <c r="Z824" s="146" t="str">
        <f>OBRA!X822</f>
        <v>GURPO CONSTRUCTOR GASPEC, S.A. DE C.V.</v>
      </c>
      <c r="AA824" s="146" t="s">
        <v>5669</v>
      </c>
      <c r="AB824" s="148" t="s">
        <v>6760</v>
      </c>
      <c r="AC824" s="163"/>
      <c r="AD824" s="1193"/>
      <c r="AE824" s="184" t="str">
        <f>OBRA!Y822</f>
        <v>C. DANIEL RODRIGUEZ VALENZUELA</v>
      </c>
      <c r="AF824" s="19">
        <v>6</v>
      </c>
      <c r="AG824" s="2" t="s">
        <v>6778</v>
      </c>
      <c r="AH824" s="184">
        <f>P824/AF824</f>
        <v>742.02686666666659</v>
      </c>
      <c r="AI824" s="511"/>
      <c r="AJ824" s="507"/>
      <c r="AK824" s="1991">
        <v>1</v>
      </c>
      <c r="AL824" s="626"/>
      <c r="AM824" s="1546"/>
      <c r="AN824" s="565"/>
      <c r="AO824" s="565"/>
      <c r="AP824" s="565"/>
      <c r="AQ824" s="507"/>
      <c r="AR824" s="507"/>
      <c r="AS824" s="512"/>
      <c r="AT824" s="507"/>
      <c r="AU824" s="507"/>
      <c r="AV824" s="507"/>
      <c r="AW824" s="507"/>
      <c r="AX824" s="507"/>
      <c r="AY824" s="507"/>
      <c r="AZ824" s="507"/>
      <c r="BA824" s="507"/>
      <c r="BB824" s="507"/>
      <c r="BC824" s="507"/>
      <c r="BD824" s="507"/>
      <c r="BE824" s="507"/>
      <c r="BF824" s="507"/>
      <c r="BG824" s="507"/>
      <c r="BH824" s="507"/>
      <c r="BI824" s="33"/>
      <c r="BJ824" s="12"/>
    </row>
    <row r="825" spans="1:63" ht="111.75" hidden="1" customHeight="1">
      <c r="A825" s="16">
        <f>OBRA!K823</f>
        <v>2024</v>
      </c>
      <c r="B825" s="781" t="s">
        <v>3947</v>
      </c>
      <c r="C825" s="781"/>
      <c r="D825" s="24"/>
      <c r="E825" s="2" t="str">
        <f>OBRA!N823</f>
        <v>CUENTA CORRIENTE</v>
      </c>
      <c r="F825" s="512"/>
      <c r="G825" s="156" t="s">
        <v>2864</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6367</v>
      </c>
      <c r="M825" s="173" t="s">
        <v>6744</v>
      </c>
      <c r="N825" s="3" t="str">
        <f>OBRA!R823</f>
        <v>CABECERA MUNICIPAL</v>
      </c>
      <c r="O825" s="505" t="s">
        <v>6777</v>
      </c>
      <c r="P825" s="4">
        <f>OBRA!S823</f>
        <v>2204</v>
      </c>
      <c r="Q825" s="1045">
        <f t="shared" si="64"/>
        <v>1900.0000000000002</v>
      </c>
      <c r="R825" s="1045" t="s">
        <v>6748</v>
      </c>
      <c r="S825" s="6">
        <f>OBRA!T823</f>
        <v>45541</v>
      </c>
      <c r="T825" s="1156">
        <f>OBRA!W823</f>
        <v>0</v>
      </c>
      <c r="U825" s="5">
        <f>OBRA!U823</f>
        <v>45544</v>
      </c>
      <c r="V825" s="11">
        <f>OBRA!V823</f>
        <v>45548</v>
      </c>
      <c r="W825" s="1557">
        <v>0</v>
      </c>
      <c r="X825" s="1119">
        <f>OBRA!AT823+OBRA!AU823</f>
        <v>0</v>
      </c>
      <c r="Y825" s="1040" t="s">
        <v>6791</v>
      </c>
      <c r="Z825" s="146" t="str">
        <f>OBRA!X823</f>
        <v>ING. SERGIO CABRERA</v>
      </c>
      <c r="AA825" s="146" t="s">
        <v>5668</v>
      </c>
      <c r="AB825" s="1816" t="s">
        <v>4447</v>
      </c>
      <c r="AC825" s="146" t="s">
        <v>1922</v>
      </c>
      <c r="AD825" s="148" t="s">
        <v>6049</v>
      </c>
      <c r="AE825" s="184" t="str">
        <f>OBRA!Y823</f>
        <v>C. DANIEL RODRIGUEZ VALENZUELA</v>
      </c>
      <c r="AF825" s="19">
        <v>2</v>
      </c>
      <c r="AG825" s="2" t="s">
        <v>6778</v>
      </c>
      <c r="AH825" s="184">
        <f>P825/AF825</f>
        <v>1102</v>
      </c>
      <c r="AI825" s="511"/>
      <c r="AJ825" s="507"/>
      <c r="AK825" s="1991">
        <v>1</v>
      </c>
      <c r="AL825" s="626"/>
      <c r="AM825" s="1546"/>
      <c r="AN825" s="565"/>
      <c r="AO825" s="565"/>
      <c r="AP825" s="565"/>
      <c r="AQ825" s="507"/>
      <c r="AR825" s="1239"/>
      <c r="AS825" s="512"/>
      <c r="AT825" s="507"/>
      <c r="AU825" s="507"/>
      <c r="AV825" s="507"/>
      <c r="AW825" s="507"/>
      <c r="AX825" s="507"/>
      <c r="AY825" s="507"/>
      <c r="AZ825" s="507"/>
      <c r="BA825" s="507"/>
      <c r="BB825" s="507"/>
      <c r="BC825" s="507"/>
      <c r="BD825" s="507"/>
      <c r="BE825" s="507"/>
      <c r="BF825" s="507"/>
      <c r="BG825" s="507"/>
      <c r="BH825" s="507"/>
      <c r="BI825" s="33"/>
      <c r="BJ825" s="12"/>
    </row>
    <row r="826" spans="1:63" ht="90.75" customHeight="1">
      <c r="A826" s="2190">
        <f>OBRA!K824</f>
        <v>2024</v>
      </c>
      <c r="B826" s="2191" t="s">
        <v>3947</v>
      </c>
      <c r="C826" s="781">
        <f>OBRA!L824</f>
        <v>244001</v>
      </c>
      <c r="D826" s="24" t="s">
        <v>2313</v>
      </c>
      <c r="E826" s="2192" t="str">
        <f>OBRA!N824</f>
        <v>REGULARIZACIÓN DE VEHÍCULOS DE PROCEDENCIA EXTRANJERA - RAMO 23/2024</v>
      </c>
      <c r="F826" s="512"/>
      <c r="G826" s="2193" t="s">
        <v>2209</v>
      </c>
      <c r="H826" s="2197" t="str">
        <f>OBRA!O824</f>
        <v>DOP/AD/001/2024</v>
      </c>
      <c r="I826" s="2192" t="str">
        <f>OBRA!P824</f>
        <v>ADMINISTRACIÓN DIRECTA</v>
      </c>
      <c r="J826" s="2195" t="str">
        <f>OBRA!Q824</f>
        <v>"BACHEO SUPERFICIAL AISLADO CON MEZCLA ASFÁLTICA EN LA CALLE NIÑÓS HÉROES ENTRE CALLE DEGOLLADO Y CALLE ITURBIDE EN EL BARRIO LA CALABAZA DE LA CABECERA MUNICIPAL DE JOCOTEPEC, JALISCO, MUNICIPIO DE JOCOTEPEC, JALISCO</v>
      </c>
      <c r="K826" s="2195" t="s">
        <v>6802</v>
      </c>
      <c r="L826" s="3" t="s">
        <v>6259</v>
      </c>
      <c r="M826" s="2195" t="s">
        <v>6166</v>
      </c>
      <c r="N826" s="2195" t="str">
        <f>OBRA!R824</f>
        <v>CABECERA MUNICIPAL</v>
      </c>
      <c r="O826" s="505" t="s">
        <v>6165</v>
      </c>
      <c r="P826" s="79">
        <f>OBRA!S824</f>
        <v>89910</v>
      </c>
      <c r="Q826" s="1045">
        <f t="shared" si="61"/>
        <v>77508.620689655174</v>
      </c>
      <c r="R826" s="1762" t="s">
        <v>67</v>
      </c>
      <c r="S826" s="67" t="str">
        <f>OBRA!T824</f>
        <v>-</v>
      </c>
      <c r="T826" s="1156" t="str">
        <f>OBRA!W824</f>
        <v>-</v>
      </c>
      <c r="U826" s="2207">
        <f>OBRA!U824</f>
        <v>45392</v>
      </c>
      <c r="V826" s="2208">
        <f>OBRA!V824</f>
        <v>45394</v>
      </c>
      <c r="W826" s="2209">
        <v>0</v>
      </c>
      <c r="X826" s="2210">
        <f>OBRA!AT824+OBRA!AU824</f>
        <v>89888.77</v>
      </c>
      <c r="Y826" s="2218" t="s">
        <v>6059</v>
      </c>
      <c r="Z826" s="2212" t="str">
        <f>OBRA!X824</f>
        <v>-</v>
      </c>
      <c r="AA826" s="2212" t="s">
        <v>67</v>
      </c>
      <c r="AB826" s="2213" t="str">
        <f t="shared" ref="AB826:AB836" si="65">Z826</f>
        <v>-</v>
      </c>
      <c r="AC826" s="2212" t="s">
        <v>67</v>
      </c>
      <c r="AD826" s="2213" t="s">
        <v>67</v>
      </c>
      <c r="AE826" s="2214" t="str">
        <f>OBRA!Y824</f>
        <v>ING. LUIS RIGOBERTO OLMEDO NAVARRO</v>
      </c>
      <c r="AF826" s="2225">
        <v>232</v>
      </c>
      <c r="AG826" s="2192" t="s">
        <v>1548</v>
      </c>
      <c r="AH826" s="2216">
        <f t="shared" si="63"/>
        <v>387.45159482758623</v>
      </c>
      <c r="AI826" s="2192">
        <v>250</v>
      </c>
      <c r="AJ826" s="2192">
        <v>5000</v>
      </c>
      <c r="AK826" s="1991">
        <v>1</v>
      </c>
      <c r="AL826" s="2220">
        <v>20.289055000000001</v>
      </c>
      <c r="AM826" s="2221">
        <v>103.43452000000001</v>
      </c>
      <c r="AN826" s="1349" t="s">
        <v>6165</v>
      </c>
      <c r="AO826" s="1349"/>
      <c r="AP826" s="1349" t="s">
        <v>6165</v>
      </c>
      <c r="AQ826" s="502" t="s">
        <v>6165</v>
      </c>
      <c r="AR826" s="496"/>
      <c r="AS826" s="597" t="s">
        <v>6165</v>
      </c>
      <c r="AT826" s="1853">
        <v>0</v>
      </c>
      <c r="AU826" s="1853">
        <v>0</v>
      </c>
      <c r="AV826" s="1853">
        <v>0</v>
      </c>
      <c r="AW826" s="1853">
        <v>0</v>
      </c>
      <c r="AX826" s="1853">
        <v>0</v>
      </c>
      <c r="AY826" s="1853">
        <v>0</v>
      </c>
      <c r="AZ826" s="1853">
        <v>0</v>
      </c>
      <c r="BA826" s="1853">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customHeight="1">
      <c r="A827" s="2190">
        <f>OBRA!K825</f>
        <v>2024</v>
      </c>
      <c r="B827" s="2191" t="s">
        <v>3947</v>
      </c>
      <c r="C827" s="781">
        <f>OBRA!L825</f>
        <v>244002</v>
      </c>
      <c r="D827" s="24" t="s">
        <v>2313</v>
      </c>
      <c r="E827" s="2192" t="str">
        <f>OBRA!N825</f>
        <v>RAMO 33</v>
      </c>
      <c r="F827" s="512"/>
      <c r="G827" s="2193" t="s">
        <v>2209</v>
      </c>
      <c r="H827" s="2197" t="str">
        <f>OBRA!O825</f>
        <v>DOP/AD/002/2024</v>
      </c>
      <c r="I827" s="2192" t="str">
        <f>OBRA!P825</f>
        <v>ADMINISTRACIÓN DIRECTA</v>
      </c>
      <c r="J827" s="2195" t="str">
        <f>OBRA!Q825</f>
        <v>"CONSTRUCCIÓN DE DRENAJE EN CARRETERA JOCOTEPEC-CHAPALA DE CALLE XOCHITL A CALLE PLAYAS DEL SOL", EN LA LOCALIDAD DE CHANTEPEC, MUNICIPIO DE JOCOTEPEC, JALISCO.</v>
      </c>
      <c r="K827" s="2198" t="s">
        <v>6803</v>
      </c>
      <c r="L827" s="3" t="s">
        <v>4750</v>
      </c>
      <c r="M827" s="2195" t="s">
        <v>6317</v>
      </c>
      <c r="N827" s="2195" t="str">
        <f>OBRA!R825</f>
        <v>CHANTEPEC</v>
      </c>
      <c r="O827" s="505" t="s">
        <v>6522</v>
      </c>
      <c r="P827" s="79">
        <f>OBRA!S825</f>
        <v>448614.85</v>
      </c>
      <c r="Q827" s="1045">
        <f t="shared" si="61"/>
        <v>386736.93965517241</v>
      </c>
      <c r="R827" s="1762" t="s">
        <v>67</v>
      </c>
      <c r="S827" s="67">
        <f>OBRA!T825</f>
        <v>45414</v>
      </c>
      <c r="T827" s="1156" t="str">
        <f>OBRA!W825</f>
        <v>-</v>
      </c>
      <c r="U827" s="2207">
        <f>OBRA!U825</f>
        <v>45418</v>
      </c>
      <c r="V827" s="2208">
        <f>OBRA!V825</f>
        <v>45437</v>
      </c>
      <c r="W827" s="2209">
        <v>0</v>
      </c>
      <c r="X827" s="2210">
        <f>OBRA!AT825+OBRA!AU825</f>
        <v>304125.05</v>
      </c>
      <c r="Y827" s="2218" t="s">
        <v>6345</v>
      </c>
      <c r="Z827" s="2212" t="str">
        <f>OBRA!X825</f>
        <v>-</v>
      </c>
      <c r="AA827" s="2212" t="s">
        <v>67</v>
      </c>
      <c r="AB827" s="2213" t="str">
        <f t="shared" si="65"/>
        <v>-</v>
      </c>
      <c r="AC827" s="2212" t="s">
        <v>67</v>
      </c>
      <c r="AD827" s="2213" t="s">
        <v>67</v>
      </c>
      <c r="AE827" s="2214" t="str">
        <f>OBRA!Y825</f>
        <v>C. DANIEL RODRIGUEZ VALENZUELA</v>
      </c>
      <c r="AF827" s="2215">
        <v>204</v>
      </c>
      <c r="AG827" s="2192" t="s">
        <v>1548</v>
      </c>
      <c r="AH827" s="2216">
        <f t="shared" si="63"/>
        <v>1490.8090686274509</v>
      </c>
      <c r="AI827" s="2192">
        <v>150</v>
      </c>
      <c r="AJ827" s="2192">
        <v>150</v>
      </c>
      <c r="AK827" s="1991">
        <v>1</v>
      </c>
      <c r="AL827" s="2220">
        <v>20.293230999999999</v>
      </c>
      <c r="AM827" s="2221">
        <v>103.393326</v>
      </c>
      <c r="AN827" s="1349" t="s">
        <v>6522</v>
      </c>
      <c r="AO827" s="1349" t="s">
        <v>6522</v>
      </c>
      <c r="AP827" s="1349" t="s">
        <v>6522</v>
      </c>
      <c r="AQ827" s="502" t="s">
        <v>6522</v>
      </c>
      <c r="AR827" s="496"/>
      <c r="AS827" s="597" t="s">
        <v>6522</v>
      </c>
      <c r="AT827" s="1853">
        <v>0</v>
      </c>
      <c r="AU827" s="1853">
        <v>0</v>
      </c>
      <c r="AV827" s="1853">
        <v>0</v>
      </c>
      <c r="AW827" s="1853">
        <v>0</v>
      </c>
      <c r="AX827" s="1853">
        <v>0</v>
      </c>
      <c r="AY827" s="1853">
        <v>0</v>
      </c>
      <c r="AZ827" s="1853">
        <v>0</v>
      </c>
      <c r="BA827" s="1853">
        <v>0</v>
      </c>
      <c r="BB827" s="514">
        <v>0</v>
      </c>
      <c r="BC827" s="514">
        <v>0</v>
      </c>
      <c r="BD827" s="514">
        <v>0</v>
      </c>
      <c r="BE827" s="514">
        <v>0</v>
      </c>
      <c r="BF827" s="514">
        <v>0</v>
      </c>
      <c r="BG827" s="514">
        <v>0</v>
      </c>
      <c r="BH827" s="514">
        <v>0</v>
      </c>
      <c r="BI827" s="33"/>
      <c r="BJ827" s="12"/>
    </row>
    <row r="828" spans="1:63" ht="154.5" customHeight="1">
      <c r="A828" s="2190">
        <f>OBRA!K826</f>
        <v>2024</v>
      </c>
      <c r="B828" s="2191" t="s">
        <v>3947</v>
      </c>
      <c r="C828" s="781">
        <f>OBRA!L826</f>
        <v>244003</v>
      </c>
      <c r="D828" s="24" t="s">
        <v>2313</v>
      </c>
      <c r="E828" s="2192" t="str">
        <f>OBRA!N826</f>
        <v>CUENTA CORRIENTE</v>
      </c>
      <c r="F828" s="512"/>
      <c r="G828" s="2193" t="s">
        <v>2209</v>
      </c>
      <c r="H828" s="2197" t="str">
        <f>OBRA!O826</f>
        <v>DOP/AD/003/2024</v>
      </c>
      <c r="I828" s="2192" t="str">
        <f>OBRA!P826</f>
        <v>ADMINISTRACIÓN DIRECTA</v>
      </c>
      <c r="J828" s="2195" t="str">
        <f>OBRA!Q826</f>
        <v xml:space="preserve">"DELIMITACIÓN PERIMETRAL, CASETA DE CONTROL U CLORACIÓN DEL POZO DE AGUA", EN LA LOCALIDAD DE SAN PEDRO TESITÁN </v>
      </c>
      <c r="K828" s="2198" t="s">
        <v>6804</v>
      </c>
      <c r="L828" s="3" t="s">
        <v>4754</v>
      </c>
      <c r="M828" s="2195" t="s">
        <v>6034</v>
      </c>
      <c r="N828" s="2195" t="str">
        <f>OBRA!R826</f>
        <v>SAN PEDRO TESISTÁN</v>
      </c>
      <c r="O828" s="505" t="s">
        <v>6523</v>
      </c>
      <c r="P828" s="79">
        <f>OBRA!S826</f>
        <v>831839.5</v>
      </c>
      <c r="Q828" s="1045">
        <f t="shared" si="61"/>
        <v>717103.01724137936</v>
      </c>
      <c r="R828" s="1762" t="s">
        <v>67</v>
      </c>
      <c r="S828" s="67">
        <f>OBRA!T826</f>
        <v>45432</v>
      </c>
      <c r="T828" s="1156" t="str">
        <f>OBRA!W826</f>
        <v>-</v>
      </c>
      <c r="U828" s="2207">
        <f>OBRA!U826</f>
        <v>45434</v>
      </c>
      <c r="V828" s="2208">
        <f>OBRA!V826</f>
        <v>45478</v>
      </c>
      <c r="W828" s="2209">
        <v>0</v>
      </c>
      <c r="X828" s="2210">
        <f>OBRA!AT826+OBRA!AU826</f>
        <v>812121.47</v>
      </c>
      <c r="Y828" s="2218" t="s">
        <v>6344</v>
      </c>
      <c r="Z828" s="2212" t="str">
        <f>OBRA!X826</f>
        <v>-</v>
      </c>
      <c r="AA828" s="2212" t="s">
        <v>67</v>
      </c>
      <c r="AB828" s="2213" t="str">
        <f t="shared" si="65"/>
        <v>-</v>
      </c>
      <c r="AC828" s="2212" t="s">
        <v>67</v>
      </c>
      <c r="AD828" s="2213" t="s">
        <v>67</v>
      </c>
      <c r="AE828" s="2214" t="str">
        <f>OBRA!Y826</f>
        <v>C. DANIEL RODRIGUEZ VALENZUELA</v>
      </c>
      <c r="AF828" s="2215">
        <v>691.48</v>
      </c>
      <c r="AG828" s="2192" t="s">
        <v>1548</v>
      </c>
      <c r="AH828" s="2216">
        <f t="shared" si="63"/>
        <v>1174.4684878810667</v>
      </c>
      <c r="AI828" s="2192">
        <v>1400</v>
      </c>
      <c r="AJ828" s="2192">
        <v>1400</v>
      </c>
      <c r="AK828" s="1991">
        <v>1</v>
      </c>
      <c r="AL828" s="2220">
        <v>20.223721000000001</v>
      </c>
      <c r="AM828" s="2221">
        <v>103.410983</v>
      </c>
      <c r="AN828" s="1349" t="s">
        <v>6523</v>
      </c>
      <c r="AO828" s="1349" t="s">
        <v>6523</v>
      </c>
      <c r="AP828" s="1349" t="s">
        <v>6523</v>
      </c>
      <c r="AQ828" s="2219"/>
      <c r="AR828" s="2192"/>
      <c r="AS828" s="2193"/>
      <c r="AT828" s="1853">
        <v>0</v>
      </c>
      <c r="AU828" s="1853">
        <v>0</v>
      </c>
      <c r="AV828" s="1853">
        <v>0</v>
      </c>
      <c r="AW828" s="1853">
        <v>0</v>
      </c>
      <c r="AX828" s="1853">
        <v>0</v>
      </c>
      <c r="AY828" s="1853">
        <v>0</v>
      </c>
      <c r="AZ828" s="1853">
        <v>0</v>
      </c>
      <c r="BA828" s="1853">
        <v>0</v>
      </c>
      <c r="BB828" s="514">
        <v>0</v>
      </c>
      <c r="BC828" s="514">
        <v>0</v>
      </c>
      <c r="BD828" s="514">
        <v>0</v>
      </c>
      <c r="BE828" s="514">
        <v>0</v>
      </c>
      <c r="BF828" s="514">
        <v>0</v>
      </c>
      <c r="BG828" s="514">
        <v>0</v>
      </c>
      <c r="BH828" s="514">
        <v>0</v>
      </c>
      <c r="BI828" s="33"/>
      <c r="BJ828" s="12"/>
    </row>
    <row r="829" spans="1:63" ht="108" customHeight="1">
      <c r="A829" s="2190">
        <f>OBRA!K827</f>
        <v>2024</v>
      </c>
      <c r="B829" s="2191" t="s">
        <v>3947</v>
      </c>
      <c r="C829" s="781">
        <f>OBRA!L827</f>
        <v>244004</v>
      </c>
      <c r="D829" s="24" t="s">
        <v>2313</v>
      </c>
      <c r="E829" s="2192" t="str">
        <f>OBRA!N827</f>
        <v>RAMO 33</v>
      </c>
      <c r="F829" s="512"/>
      <c r="G829" s="2193" t="s">
        <v>2209</v>
      </c>
      <c r="H829" s="2197" t="str">
        <f>OBRA!O827</f>
        <v>DOP/AD/004/2024</v>
      </c>
      <c r="I829" s="2192" t="str">
        <f>OBRA!P827</f>
        <v>ADMINISTRACIÓN DIRECTA</v>
      </c>
      <c r="J829" s="2195" t="str">
        <f>OBRA!Q827</f>
        <v>"REHABILITACIÓN DE SUPERFICIE DE RODAMIENTO Y CONSTRUCCIÓN DE BOCA DE TORMENTA EN CALLE MATAMOROS", EN LA CABECERA MUNICIPAL DE JOCOTEPEC, JALISCO.</v>
      </c>
      <c r="K829" s="2198" t="s">
        <v>6805</v>
      </c>
      <c r="L829" s="3" t="s">
        <v>4755</v>
      </c>
      <c r="M829" s="2195" t="s">
        <v>6733</v>
      </c>
      <c r="N829" s="2195" t="str">
        <f>OBRA!R827</f>
        <v>CABECERA MUNICIPAL</v>
      </c>
      <c r="O829" s="505" t="s">
        <v>6524</v>
      </c>
      <c r="P829" s="79">
        <f>OBRA!S827</f>
        <v>1572787.58</v>
      </c>
      <c r="Q829" s="1045">
        <f t="shared" si="61"/>
        <v>1355851.3620689656</v>
      </c>
      <c r="R829" s="1762" t="s">
        <v>67</v>
      </c>
      <c r="S829" s="67">
        <f>OBRA!T827</f>
        <v>45474</v>
      </c>
      <c r="T829" s="1156" t="str">
        <f>OBRA!W827</f>
        <v>-</v>
      </c>
      <c r="U829" s="2207">
        <f>OBRA!U827</f>
        <v>45488</v>
      </c>
      <c r="V829" s="2208">
        <f>OBRA!V827</f>
        <v>45545</v>
      </c>
      <c r="W829" s="2209">
        <v>0</v>
      </c>
      <c r="X829" s="2210">
        <f>OBRA!AT827+OBRA!AU827</f>
        <v>0</v>
      </c>
      <c r="Y829" s="2218" t="s">
        <v>6346</v>
      </c>
      <c r="Z829" s="2212" t="str">
        <f>OBRA!X827</f>
        <v>-</v>
      </c>
      <c r="AA829" s="2212" t="s">
        <v>67</v>
      </c>
      <c r="AB829" s="2213" t="str">
        <f t="shared" si="65"/>
        <v>-</v>
      </c>
      <c r="AC829" s="2212" t="s">
        <v>67</v>
      </c>
      <c r="AD829" s="2213" t="s">
        <v>67</v>
      </c>
      <c r="AE829" s="2214" t="str">
        <f>OBRA!Y827</f>
        <v>C. DANIEL RODRIGUEZ VALENZUELA</v>
      </c>
      <c r="AF829" s="2215">
        <v>1237.1400000000001</v>
      </c>
      <c r="AG829" s="2192" t="s">
        <v>1548</v>
      </c>
      <c r="AH829" s="2216">
        <f t="shared" si="63"/>
        <v>0</v>
      </c>
      <c r="AI829" s="2192" t="s">
        <v>67</v>
      </c>
      <c r="AJ829" s="2192">
        <v>40000</v>
      </c>
      <c r="AK829" s="1991">
        <v>1</v>
      </c>
      <c r="AL829" s="2220">
        <v>20.279458000000002</v>
      </c>
      <c r="AM829" s="2221">
        <v>103.429254</v>
      </c>
      <c r="AN829" s="1349" t="s">
        <v>6524</v>
      </c>
      <c r="AO829" s="1349"/>
      <c r="AP829" s="1349" t="s">
        <v>6524</v>
      </c>
      <c r="AQ829" s="496" t="s">
        <v>6524</v>
      </c>
      <c r="AR829" s="497"/>
      <c r="AS829" s="2217"/>
      <c r="AT829" s="1853">
        <v>0</v>
      </c>
      <c r="AU829" s="1853">
        <v>0</v>
      </c>
      <c r="AV829" s="1853">
        <f>(4526.35+11399.5+2737.99+18594.53+7077.26+9794.4+8361.04+98293.23)*1.16</f>
        <v>186509.78799999997</v>
      </c>
      <c r="AW829" s="1853">
        <v>0</v>
      </c>
      <c r="AX829" s="1853">
        <f>(11913.66+47162.81+77231.52+59803.35+35550.74+165854.49+162782+32089+602697.49)*1.16</f>
        <v>1386298.6695999999</v>
      </c>
      <c r="AY829" s="1853">
        <v>0</v>
      </c>
      <c r="AZ829" s="1853">
        <v>0</v>
      </c>
      <c r="BA829" s="1853">
        <v>0</v>
      </c>
      <c r="BB829" s="514">
        <v>0</v>
      </c>
      <c r="BC829" s="514">
        <v>0</v>
      </c>
      <c r="BD829" s="514">
        <v>9</v>
      </c>
      <c r="BE829" s="514">
        <v>0</v>
      </c>
      <c r="BF829" s="514">
        <v>1237.1400000000001</v>
      </c>
      <c r="BG829" s="514">
        <v>0</v>
      </c>
      <c r="BH829" s="514">
        <v>0</v>
      </c>
      <c r="BI829" s="33"/>
      <c r="BJ829" s="12"/>
      <c r="BK829" s="1856">
        <f>AX829+AX830</f>
        <v>1386298.6695999999</v>
      </c>
    </row>
    <row r="830" spans="1:63" ht="92.25" customHeight="1">
      <c r="A830" s="2190">
        <f>OBRA!K828</f>
        <v>2024</v>
      </c>
      <c r="B830" s="2191" t="s">
        <v>3947</v>
      </c>
      <c r="C830" s="781">
        <f>OBRA!L828</f>
        <v>244005</v>
      </c>
      <c r="D830" s="24" t="s">
        <v>2313</v>
      </c>
      <c r="E830" s="2192" t="str">
        <f>OBRA!N828</f>
        <v>CUENTA CORRIENTE</v>
      </c>
      <c r="F830" s="512"/>
      <c r="G830" s="2193" t="s">
        <v>2209</v>
      </c>
      <c r="H830" s="2197" t="str">
        <f>OBRA!O828</f>
        <v>DOP/AD/005/2024</v>
      </c>
      <c r="I830" s="2192" t="str">
        <f>OBRA!P828</f>
        <v>ADMINISTRACIÓN DIRECTA</v>
      </c>
      <c r="J830" s="2195" t="str">
        <f>OBRA!Q828</f>
        <v>"REHABILITACIÓN DE SUPERFICIE DE RODAMIENTO Y CONSTRUCCIÓN DE BOCA DE TORMENTA EN CALLE MATAMOROS", EN LA CABECERA MUNICIPAL DE JOCOTEPEC, JALISCO.</v>
      </c>
      <c r="K830" s="2198" t="s">
        <v>6815</v>
      </c>
      <c r="L830" s="3" t="s">
        <v>4755</v>
      </c>
      <c r="M830" s="2195" t="s">
        <v>6733</v>
      </c>
      <c r="N830" s="2195" t="str">
        <f>OBRA!R828</f>
        <v>CABECERA MUNICIPAL</v>
      </c>
      <c r="O830" s="505" t="s">
        <v>6525</v>
      </c>
      <c r="P830" s="79">
        <f>OBRA!S828</f>
        <v>600000</v>
      </c>
      <c r="Q830" s="1045">
        <f t="shared" si="61"/>
        <v>517241.37931034487</v>
      </c>
      <c r="R830" s="1762" t="s">
        <v>67</v>
      </c>
      <c r="S830" s="67">
        <f>OBRA!T828</f>
        <v>45492</v>
      </c>
      <c r="T830" s="1156" t="str">
        <f>OBRA!W828</f>
        <v>-</v>
      </c>
      <c r="U830" s="2207">
        <f>OBRA!U828</f>
        <v>45496</v>
      </c>
      <c r="V830" s="2208">
        <f>OBRA!V828</f>
        <v>45549</v>
      </c>
      <c r="W830" s="2209">
        <v>0</v>
      </c>
      <c r="X830" s="2210">
        <f>OBRA!AT828+OBRA!AU828</f>
        <v>0</v>
      </c>
      <c r="Y830" s="2218" t="s">
        <v>6906</v>
      </c>
      <c r="Z830" s="2212" t="str">
        <f>OBRA!X828</f>
        <v>-</v>
      </c>
      <c r="AA830" s="2212" t="s">
        <v>67</v>
      </c>
      <c r="AB830" s="2213" t="str">
        <f t="shared" si="65"/>
        <v>-</v>
      </c>
      <c r="AC830" s="2212" t="s">
        <v>67</v>
      </c>
      <c r="AD830" s="2213" t="s">
        <v>67</v>
      </c>
      <c r="AE830" s="2214" t="str">
        <f>OBRA!Y828</f>
        <v>ARQ. JOSÉ ANTONIO CASILLAS MEDINA</v>
      </c>
      <c r="AF830" s="2215"/>
      <c r="AG830" s="2192" t="s">
        <v>1548</v>
      </c>
      <c r="AH830" s="2216" t="e">
        <f t="shared" si="63"/>
        <v>#DIV/0!</v>
      </c>
      <c r="AI830" s="2192" t="s">
        <v>67</v>
      </c>
      <c r="AJ830" s="2192">
        <v>40000</v>
      </c>
      <c r="AK830" s="1991">
        <v>0.98</v>
      </c>
      <c r="AL830" s="2220">
        <v>20.279458000000002</v>
      </c>
      <c r="AM830" s="2221">
        <v>103.429254</v>
      </c>
      <c r="AN830" s="1349" t="s">
        <v>6525</v>
      </c>
      <c r="AO830" s="1349"/>
      <c r="AP830" s="1349"/>
      <c r="AQ830" s="496" t="s">
        <v>6525</v>
      </c>
      <c r="AR830" s="502"/>
      <c r="AS830" s="2217"/>
      <c r="AT830" s="1853">
        <v>0</v>
      </c>
      <c r="AU830" s="1853">
        <v>0</v>
      </c>
      <c r="AV830" s="1852"/>
      <c r="AW830" s="1853">
        <v>0</v>
      </c>
      <c r="AX830" s="1852"/>
      <c r="AY830" s="1853">
        <v>0</v>
      </c>
      <c r="AZ830" s="1853">
        <v>0</v>
      </c>
      <c r="BA830" s="1853">
        <v>0</v>
      </c>
      <c r="BB830" s="514">
        <v>0</v>
      </c>
      <c r="BC830" s="514">
        <v>0</v>
      </c>
      <c r="BD830" s="507"/>
      <c r="BE830" s="514">
        <v>0</v>
      </c>
      <c r="BF830" s="507"/>
      <c r="BG830" s="514">
        <v>0</v>
      </c>
      <c r="BH830" s="514">
        <v>0</v>
      </c>
      <c r="BI830" s="33"/>
      <c r="BJ830" s="12"/>
    </row>
    <row r="831" spans="1:63" ht="180.75" customHeight="1">
      <c r="A831" s="2190">
        <f>OBRA!K829</f>
        <v>2024</v>
      </c>
      <c r="B831" s="2191" t="s">
        <v>6558</v>
      </c>
      <c r="C831" s="781">
        <f>OBRA!L829</f>
        <v>244006</v>
      </c>
      <c r="D831" s="24" t="s">
        <v>2313</v>
      </c>
      <c r="E831" s="2192" t="str">
        <f>OBRA!N829</f>
        <v>RAMO 33</v>
      </c>
      <c r="F831" s="512"/>
      <c r="G831" s="2193" t="s">
        <v>2209</v>
      </c>
      <c r="H831" s="2197" t="str">
        <f>OBRA!O829</f>
        <v>DOP/AD/001/2024</v>
      </c>
      <c r="I831" s="2192" t="str">
        <f>OBRA!P829</f>
        <v>ADMINISTRACIÓN DIRECTA</v>
      </c>
      <c r="J831" s="2195" t="str">
        <f>OBRA!Q829</f>
        <v>REHABILITACIÓN DE REDES HIDROSANITARIAS Y SUPERFICIE DE RODAMIENTO EN C. MATAMOROS ENTRE DEGOLLADO Y ALDAMA", EN LA CABECERA MUNICIPAL DE JOCOTEPEC, JALISCO.</v>
      </c>
      <c r="K831" s="2198" t="s">
        <v>6942</v>
      </c>
      <c r="L831" s="3" t="s">
        <v>6249</v>
      </c>
      <c r="M831" s="2195" t="s">
        <v>6902</v>
      </c>
      <c r="N831" s="2195" t="str">
        <f>OBRA!R829</f>
        <v>CABECERA MUNICIPAL</v>
      </c>
      <c r="O831" s="505" t="s">
        <v>6904</v>
      </c>
      <c r="P831" s="79">
        <f>OBRA!S829</f>
        <v>1057005.33</v>
      </c>
      <c r="Q831" s="1045">
        <f t="shared" si="61"/>
        <v>911211.49137931049</v>
      </c>
      <c r="R831" s="1762" t="s">
        <v>67</v>
      </c>
      <c r="S831" s="67">
        <f>OBRA!T829</f>
        <v>45616</v>
      </c>
      <c r="T831" s="1156" t="str">
        <f>OBRA!W829</f>
        <v>-</v>
      </c>
      <c r="U831" s="2207">
        <f>OBRA!U829</f>
        <v>45617</v>
      </c>
      <c r="V831" s="2208">
        <f>OBRA!V829</f>
        <v>45645</v>
      </c>
      <c r="W831" s="2209">
        <v>0</v>
      </c>
      <c r="X831" s="2210">
        <f>OBRA!AT829+OBRA!AU829</f>
        <v>0</v>
      </c>
      <c r="Y831" s="2211" t="s">
        <v>6905</v>
      </c>
      <c r="Z831" s="2212" t="str">
        <f>OBRA!X829</f>
        <v>-</v>
      </c>
      <c r="AA831" s="2212" t="s">
        <v>67</v>
      </c>
      <c r="AB831" s="2213" t="str">
        <f t="shared" si="65"/>
        <v>-</v>
      </c>
      <c r="AC831" s="2212" t="s">
        <v>67</v>
      </c>
      <c r="AD831" s="2213" t="s">
        <v>67</v>
      </c>
      <c r="AE831" s="2214" t="str">
        <f>OBRA!Y829</f>
        <v>ARQ. EDGAR RUBÉN SAUCEDO AGUILAR</v>
      </c>
      <c r="AF831" s="2215">
        <v>618.79</v>
      </c>
      <c r="AG831" s="2192" t="s">
        <v>1548</v>
      </c>
      <c r="AH831" s="2216">
        <f t="shared" si="63"/>
        <v>0</v>
      </c>
      <c r="AI831" s="2192">
        <v>300</v>
      </c>
      <c r="AJ831" s="2192">
        <v>20000</v>
      </c>
      <c r="AK831" s="1991">
        <v>0.7</v>
      </c>
      <c r="AL831" s="2220">
        <v>20.287761</v>
      </c>
      <c r="AM831" s="2221">
        <v>103.427874</v>
      </c>
      <c r="AN831" s="1349" t="s">
        <v>6904</v>
      </c>
      <c r="AO831" s="1349" t="s">
        <v>6904</v>
      </c>
      <c r="AP831" s="1349" t="s">
        <v>6904</v>
      </c>
      <c r="AQ831" s="496" t="s">
        <v>6904</v>
      </c>
      <c r="AR831" s="2219"/>
      <c r="AS831" s="2217"/>
      <c r="AT831" s="1853">
        <f>184015.52*1.16</f>
        <v>213458.00319999998</v>
      </c>
      <c r="AU831" s="1853">
        <v>0</v>
      </c>
      <c r="AV831" s="1853" t="s">
        <v>6907</v>
      </c>
      <c r="AW831" s="1853">
        <v>0</v>
      </c>
      <c r="AX831" s="1853">
        <f>(431391.19-33957.59)*1.16</f>
        <v>461022.97599999997</v>
      </c>
      <c r="AY831" s="1853">
        <f>33957.59*1.16</f>
        <v>39390.804399999994</v>
      </c>
      <c r="AZ831" s="1853">
        <v>0</v>
      </c>
      <c r="BA831" s="1853">
        <v>0</v>
      </c>
      <c r="BB831" s="514">
        <v>110</v>
      </c>
      <c r="BC831" s="514">
        <v>0</v>
      </c>
      <c r="BD831" s="514">
        <v>112</v>
      </c>
      <c r="BE831" s="514">
        <v>0</v>
      </c>
      <c r="BF831" s="514">
        <v>618.79</v>
      </c>
      <c r="BG831" s="514">
        <v>80.599999999999994</v>
      </c>
      <c r="BH831" s="514">
        <v>0</v>
      </c>
      <c r="BI831" s="33"/>
      <c r="BJ831" s="12"/>
    </row>
    <row r="832" spans="1:63" ht="91.5" customHeight="1">
      <c r="A832" s="2190">
        <f>OBRA!K830</f>
        <v>2024</v>
      </c>
      <c r="B832" s="2191" t="s">
        <v>6558</v>
      </c>
      <c r="C832" s="781">
        <f>OBRA!L830</f>
        <v>244007</v>
      </c>
      <c r="D832" s="24" t="s">
        <v>2313</v>
      </c>
      <c r="E832" s="2192" t="str">
        <f>OBRA!N830</f>
        <v>RAMO 33</v>
      </c>
      <c r="F832" s="512"/>
      <c r="G832" s="2193" t="s">
        <v>2209</v>
      </c>
      <c r="H832" s="2197" t="str">
        <f>OBRA!O830</f>
        <v>DOP/AD/002/2024</v>
      </c>
      <c r="I832" s="2192" t="str">
        <f>OBRA!P830</f>
        <v>ADMINISTRACIÓN DIRECTA</v>
      </c>
      <c r="J832" s="2195" t="str">
        <f>OBRA!Q830</f>
        <v>"CONSTRUCCIÓN DE SUPERFICIE DE RODAMIENTO EN CALLE JOSÉ SANTANA DE C. RIVERA DEL LAGO A 30 ML HACIA COLÓN", EN LA CABECERA MUNICIPAL DE JOCOTEPEC, JALISCO.</v>
      </c>
      <c r="K832" s="2198" t="s">
        <v>6943</v>
      </c>
      <c r="L832" s="3" t="s">
        <v>6714</v>
      </c>
      <c r="M832" s="2195" t="s">
        <v>6903</v>
      </c>
      <c r="N832" s="2195" t="str">
        <f>OBRA!R830</f>
        <v>CABECERA MUNICIPAL</v>
      </c>
      <c r="O832" s="505" t="s">
        <v>6908</v>
      </c>
      <c r="P832" s="79">
        <f>OBRA!S830</f>
        <v>722232.67</v>
      </c>
      <c r="Q832" s="1045">
        <f t="shared" si="61"/>
        <v>622614.3706896553</v>
      </c>
      <c r="R832" s="1762" t="s">
        <v>67</v>
      </c>
      <c r="S832" s="67">
        <f>OBRA!T830</f>
        <v>45616</v>
      </c>
      <c r="T832" s="1156" t="str">
        <f>OBRA!W830</f>
        <v>-</v>
      </c>
      <c r="U832" s="2207">
        <f>OBRA!U830</f>
        <v>45618</v>
      </c>
      <c r="V832" s="2208">
        <f>OBRA!V830</f>
        <v>45645</v>
      </c>
      <c r="W832" s="2209">
        <v>0</v>
      </c>
      <c r="X832" s="2210">
        <f>OBRA!AT830+OBRA!AU830</f>
        <v>722232.53</v>
      </c>
      <c r="Y832" s="2218" t="s">
        <v>6909</v>
      </c>
      <c r="Z832" s="2212" t="str">
        <f>OBRA!X830</f>
        <v>-</v>
      </c>
      <c r="AA832" s="2212" t="s">
        <v>67</v>
      </c>
      <c r="AB832" s="2213" t="str">
        <f t="shared" si="65"/>
        <v>-</v>
      </c>
      <c r="AC832" s="2212" t="s">
        <v>67</v>
      </c>
      <c r="AD832" s="2213" t="s">
        <v>67</v>
      </c>
      <c r="AE832" s="2214" t="str">
        <f>OBRA!Y830</f>
        <v>ARQ. JOSÉ ANTONIO CASILLAS MEDINA</v>
      </c>
      <c r="AF832" s="2215">
        <v>741.16</v>
      </c>
      <c r="AG832" s="2192" t="s">
        <v>1548</v>
      </c>
      <c r="AH832" s="2216">
        <f t="shared" ref="AH832:AH863" si="66">X832/AF832</f>
        <v>974.462369798694</v>
      </c>
      <c r="AI832" s="2192">
        <v>500</v>
      </c>
      <c r="AJ832" s="2192">
        <v>5000</v>
      </c>
      <c r="AK832" s="1991">
        <v>0.95</v>
      </c>
      <c r="AL832" s="2220">
        <v>20.282589000000002</v>
      </c>
      <c r="AM832" s="2221">
        <v>103.41798900000001</v>
      </c>
      <c r="AN832" s="1349" t="s">
        <v>6908</v>
      </c>
      <c r="AO832" s="1349" t="s">
        <v>6908</v>
      </c>
      <c r="AP832" s="1349" t="s">
        <v>6908</v>
      </c>
      <c r="AQ832" s="496" t="s">
        <v>6908</v>
      </c>
      <c r="AR832" s="2219"/>
      <c r="AS832" s="2217"/>
      <c r="AT832" s="1853">
        <v>0</v>
      </c>
      <c r="AU832" s="1853">
        <v>0</v>
      </c>
      <c r="AV832" s="1853">
        <v>0</v>
      </c>
      <c r="AW832" s="1853">
        <v>0</v>
      </c>
      <c r="AX832" s="1853">
        <f>(622614.37-69170.88)*1.16</f>
        <v>641994.44839999999</v>
      </c>
      <c r="AY832" s="1853">
        <f>69170.88*1.16</f>
        <v>80238.220799999996</v>
      </c>
      <c r="AZ832" s="1853">
        <v>0</v>
      </c>
      <c r="BA832" s="1853">
        <v>0</v>
      </c>
      <c r="BB832" s="514">
        <v>0</v>
      </c>
      <c r="BC832" s="514">
        <v>0</v>
      </c>
      <c r="BD832" s="514">
        <v>0</v>
      </c>
      <c r="BE832" s="514">
        <v>0</v>
      </c>
      <c r="BF832" s="514">
        <f>310.89+430.27+36</f>
        <v>777.16</v>
      </c>
      <c r="BG832" s="514">
        <v>96</v>
      </c>
      <c r="BH832" s="514">
        <v>0</v>
      </c>
      <c r="BI832" s="33"/>
      <c r="BJ832" s="12"/>
    </row>
    <row r="833" spans="1:62" ht="15" hidden="1" customHeight="1">
      <c r="A833" s="16">
        <f>OBRA!K831</f>
        <v>2024</v>
      </c>
      <c r="B833" s="781" t="s">
        <v>6558</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61"/>
        <v>0</v>
      </c>
      <c r="R833" s="1762"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5"/>
        <v>-</v>
      </c>
      <c r="AC833" s="1111" t="s">
        <v>67</v>
      </c>
      <c r="AD833" s="400" t="s">
        <v>67</v>
      </c>
      <c r="AE833" s="184">
        <f>OBRA!Y831</f>
        <v>0</v>
      </c>
      <c r="AF833" s="161"/>
      <c r="AG833" s="511"/>
      <c r="AH833" s="655" t="e">
        <f t="shared" si="66"/>
        <v>#DIV/0!</v>
      </c>
      <c r="AI833" s="511"/>
      <c r="AJ833" s="511"/>
      <c r="AK833" s="1994"/>
      <c r="AL833" s="1553"/>
      <c r="AM833" s="1554"/>
      <c r="AN833" s="1261"/>
      <c r="AO833" s="1261"/>
      <c r="AP833" s="1261"/>
      <c r="AQ833" s="511"/>
      <c r="AR833" s="507"/>
      <c r="AS833" s="512"/>
      <c r="AT833" s="1852"/>
      <c r="AU833" s="1852"/>
      <c r="AV833" s="1852"/>
      <c r="AW833" s="1852"/>
      <c r="AX833" s="1852"/>
      <c r="AY833" s="1852"/>
      <c r="AZ833" s="1852"/>
      <c r="BA833" s="1852"/>
      <c r="BB833" s="507"/>
      <c r="BC833" s="507"/>
      <c r="BD833" s="507"/>
      <c r="BE833" s="507"/>
      <c r="BF833" s="507"/>
      <c r="BG833" s="507"/>
      <c r="BH833" s="507"/>
      <c r="BI833" s="33"/>
      <c r="BJ833" s="12"/>
    </row>
    <row r="834" spans="1:62" ht="15" hidden="1" customHeight="1">
      <c r="A834" s="16">
        <f>OBRA!K832</f>
        <v>2024</v>
      </c>
      <c r="B834" s="781" t="s">
        <v>6558</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61"/>
        <v>0</v>
      </c>
      <c r="R834" s="1762"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5"/>
        <v>-</v>
      </c>
      <c r="AC834" s="1111" t="s">
        <v>67</v>
      </c>
      <c r="AD834" s="400" t="s">
        <v>67</v>
      </c>
      <c r="AE834" s="184">
        <f>OBRA!Y832</f>
        <v>0</v>
      </c>
      <c r="AF834" s="161"/>
      <c r="AG834" s="511"/>
      <c r="AH834" s="655" t="e">
        <f t="shared" si="66"/>
        <v>#DIV/0!</v>
      </c>
      <c r="AI834" s="511"/>
      <c r="AJ834" s="511"/>
      <c r="AK834" s="1994"/>
      <c r="AL834" s="1553"/>
      <c r="AM834" s="1554"/>
      <c r="AN834" s="1261"/>
      <c r="AO834" s="1261"/>
      <c r="AP834" s="1261"/>
      <c r="AQ834" s="511"/>
      <c r="AR834" s="507"/>
      <c r="AS834" s="512"/>
      <c r="AT834" s="1852"/>
      <c r="AU834" s="1852"/>
      <c r="AV834" s="1852"/>
      <c r="AW834" s="1852"/>
      <c r="AX834" s="1852"/>
      <c r="AY834" s="1852"/>
      <c r="AZ834" s="1852"/>
      <c r="BA834" s="1852"/>
      <c r="BB834" s="507"/>
      <c r="BC834" s="507"/>
      <c r="BD834" s="507"/>
      <c r="BE834" s="507"/>
      <c r="BF834" s="507"/>
      <c r="BG834" s="507"/>
      <c r="BH834" s="507"/>
      <c r="BI834" s="33"/>
      <c r="BJ834" s="12"/>
    </row>
    <row r="835" spans="1:62" ht="19.5" hidden="1" customHeight="1">
      <c r="A835" s="16">
        <f>OBRA!K833</f>
        <v>2024</v>
      </c>
      <c r="B835" s="781" t="s">
        <v>6558</v>
      </c>
      <c r="C835" s="781">
        <f>OBRA!L833</f>
        <v>244010</v>
      </c>
      <c r="D835" s="24" t="s">
        <v>2313</v>
      </c>
      <c r="E835" s="2">
        <f>OBRA!N833</f>
        <v>0</v>
      </c>
      <c r="F835" s="512"/>
      <c r="G835" s="156" t="s">
        <v>2209</v>
      </c>
      <c r="H835" s="1837" t="str">
        <f>OBRA!O833</f>
        <v>DOP/AD/005/2024</v>
      </c>
      <c r="I835" s="2" t="s">
        <v>250</v>
      </c>
      <c r="J835" s="3" t="str">
        <f>OBRA!Q833</f>
        <v>-</v>
      </c>
      <c r="K835" s="1436"/>
      <c r="L835" s="544" t="s">
        <v>67</v>
      </c>
      <c r="M835" s="544"/>
      <c r="N835" s="3" t="str">
        <f>OBRA!R833</f>
        <v>-</v>
      </c>
      <c r="O835" s="532"/>
      <c r="P835" s="4">
        <f>OBRA!S833</f>
        <v>0</v>
      </c>
      <c r="Q835" s="1045">
        <f t="shared" si="61"/>
        <v>0</v>
      </c>
      <c r="R835" s="1762"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5"/>
        <v>-</v>
      </c>
      <c r="AC835" s="1111" t="s">
        <v>67</v>
      </c>
      <c r="AD835" s="400" t="s">
        <v>67</v>
      </c>
      <c r="AE835" s="184">
        <f>OBRA!Y833</f>
        <v>0</v>
      </c>
      <c r="AF835" s="161"/>
      <c r="AG835" s="511"/>
      <c r="AH835" s="655" t="e">
        <f t="shared" si="66"/>
        <v>#DIV/0!</v>
      </c>
      <c r="AI835" s="511"/>
      <c r="AJ835" s="511"/>
      <c r="AK835" s="1994"/>
      <c r="AL835" s="1553"/>
      <c r="AM835" s="1554"/>
      <c r="AN835" s="1261"/>
      <c r="AO835" s="1261"/>
      <c r="AP835" s="1261"/>
      <c r="AQ835" s="511"/>
      <c r="AR835" s="507"/>
      <c r="AS835" s="512"/>
      <c r="AT835" s="1852"/>
      <c r="AU835" s="1852"/>
      <c r="AV835" s="1852"/>
      <c r="AW835" s="1852"/>
      <c r="AX835" s="1852"/>
      <c r="AY835" s="1852"/>
      <c r="AZ835" s="1852"/>
      <c r="BA835" s="1852"/>
      <c r="BB835" s="507"/>
      <c r="BC835" s="507"/>
      <c r="BD835" s="507"/>
      <c r="BE835" s="507"/>
      <c r="BF835" s="507"/>
      <c r="BG835" s="507"/>
      <c r="BH835" s="507"/>
      <c r="BI835" s="33"/>
      <c r="BJ835" s="12"/>
    </row>
    <row r="836" spans="1:62" ht="123.75" hidden="1" customHeight="1">
      <c r="A836" s="16">
        <f>OBRA!K834</f>
        <v>2024</v>
      </c>
      <c r="B836" s="781" t="s">
        <v>3947</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1998" t="s">
        <v>6807</v>
      </c>
      <c r="L836" s="3" t="s">
        <v>4754</v>
      </c>
      <c r="M836" s="3" t="s">
        <v>6029</v>
      </c>
      <c r="N836" s="3" t="str">
        <f>OBRA!R834</f>
        <v>SAN JUAN COSALÁ</v>
      </c>
      <c r="O836" s="505" t="s">
        <v>6044</v>
      </c>
      <c r="P836" s="4">
        <f>OBRA!S834</f>
        <v>653611.4</v>
      </c>
      <c r="Q836" s="1045">
        <f t="shared" si="61"/>
        <v>563458.10344827594</v>
      </c>
      <c r="R836" s="1762" t="s">
        <v>67</v>
      </c>
      <c r="S836" s="6">
        <f>OBRA!T834</f>
        <v>45322</v>
      </c>
      <c r="T836" s="1156">
        <f>OBRA!W834</f>
        <v>45321</v>
      </c>
      <c r="U836" s="5">
        <f>OBRA!U834</f>
        <v>45331</v>
      </c>
      <c r="V836" s="11">
        <f>OBRA!V834</f>
        <v>45320</v>
      </c>
      <c r="W836" s="1557">
        <v>196083.42</v>
      </c>
      <c r="X836" s="1041">
        <f>OBRA!AT834+OBRA!AU834</f>
        <v>666579.04</v>
      </c>
      <c r="Y836" s="1110" t="s">
        <v>6027</v>
      </c>
      <c r="Z836" s="146" t="str">
        <f>OBRA!X834</f>
        <v>C. EDURADO VENTURA PADILLA</v>
      </c>
      <c r="AA836" s="146" t="s">
        <v>5668</v>
      </c>
      <c r="AB836" s="148" t="str">
        <f t="shared" si="65"/>
        <v>C. EDURADO VENTURA PADILLA</v>
      </c>
      <c r="AC836" s="146" t="s">
        <v>4408</v>
      </c>
      <c r="AD836" s="148" t="s">
        <v>6047</v>
      </c>
      <c r="AE836" s="184" t="str">
        <f>OBRA!Y834</f>
        <v>C. DANIEL RODRIGUEZ VALENZUELA</v>
      </c>
      <c r="AF836" s="19">
        <v>1</v>
      </c>
      <c r="AG836" s="2" t="s">
        <v>1462</v>
      </c>
      <c r="AH836" s="655">
        <f t="shared" si="66"/>
        <v>666579.04</v>
      </c>
      <c r="AI836" s="2">
        <v>1000</v>
      </c>
      <c r="AJ836" s="2">
        <v>4000</v>
      </c>
      <c r="AK836" s="1991">
        <v>1</v>
      </c>
      <c r="AL836" s="1621">
        <v>20.292089000000001</v>
      </c>
      <c r="AM836" s="1552">
        <v>103.348386</v>
      </c>
      <c r="AN836" s="1349" t="s">
        <v>6052</v>
      </c>
      <c r="AO836" s="1349" t="s">
        <v>6052</v>
      </c>
      <c r="AP836" s="1349" t="s">
        <v>6052</v>
      </c>
      <c r="AQ836" s="1349" t="s">
        <v>6052</v>
      </c>
      <c r="AR836" s="1349" t="s">
        <v>6052</v>
      </c>
      <c r="AS836" s="697" t="s">
        <v>6052</v>
      </c>
      <c r="AT836" s="1853">
        <v>0</v>
      </c>
      <c r="AU836" s="1853">
        <v>0</v>
      </c>
      <c r="AV836" s="1853">
        <v>0</v>
      </c>
      <c r="AW836" s="1853">
        <v>0</v>
      </c>
      <c r="AX836" s="1853">
        <v>0</v>
      </c>
      <c r="AY836" s="1853">
        <v>0</v>
      </c>
      <c r="AZ836" s="1853">
        <v>0</v>
      </c>
      <c r="BA836" s="1853">
        <v>0</v>
      </c>
      <c r="BB836" s="514">
        <v>0</v>
      </c>
      <c r="BC836" s="514">
        <v>0</v>
      </c>
      <c r="BD836" s="514">
        <v>0</v>
      </c>
      <c r="BE836" s="514">
        <v>0</v>
      </c>
      <c r="BF836" s="514">
        <v>0</v>
      </c>
      <c r="BG836" s="514">
        <v>0</v>
      </c>
      <c r="BH836" s="514">
        <v>0</v>
      </c>
      <c r="BI836" s="33"/>
      <c r="BJ836" s="12"/>
    </row>
    <row r="837" spans="1:62" ht="152.25" hidden="1" customHeight="1">
      <c r="A837" s="16">
        <f>OBRA!K835</f>
        <v>2024</v>
      </c>
      <c r="B837" s="781" t="s">
        <v>3947</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6808</v>
      </c>
      <c r="L837" s="3" t="s">
        <v>4754</v>
      </c>
      <c r="M837" s="3" t="s">
        <v>6029</v>
      </c>
      <c r="N837" s="3" t="str">
        <f>OBRA!R835</f>
        <v>SAN JUAN COSALÁ</v>
      </c>
      <c r="O837" s="505" t="s">
        <v>6044</v>
      </c>
      <c r="P837" s="4">
        <f>OBRA!S835</f>
        <v>388619.27</v>
      </c>
      <c r="Q837" s="1045">
        <f t="shared" si="61"/>
        <v>335016.61206896557</v>
      </c>
      <c r="R837" s="1762" t="s">
        <v>67</v>
      </c>
      <c r="S837" s="6">
        <f>OBRA!T835</f>
        <v>45335</v>
      </c>
      <c r="T837" s="1156">
        <f>OBRA!W835</f>
        <v>45331</v>
      </c>
      <c r="U837" s="5">
        <f>OBRA!U835</f>
        <v>45336</v>
      </c>
      <c r="V837" s="11">
        <f>OBRA!V835</f>
        <v>45351</v>
      </c>
      <c r="W837" s="1557">
        <v>0</v>
      </c>
      <c r="X837" s="1041">
        <f>OBRA!AT835+OBRA!AU835</f>
        <v>387739.52</v>
      </c>
      <c r="Y837" s="1110" t="s">
        <v>6030</v>
      </c>
      <c r="Z837" s="146" t="str">
        <f>OBRA!X835</f>
        <v>ESTRUCTURAS PLANEADAS DE OCCIDENTE, S.A. DE C.V.</v>
      </c>
      <c r="AA837" s="146" t="s">
        <v>5669</v>
      </c>
      <c r="AB837" s="148" t="s">
        <v>4480</v>
      </c>
      <c r="AC837" s="146" t="s">
        <v>4481</v>
      </c>
      <c r="AD837" s="148" t="s">
        <v>6574</v>
      </c>
      <c r="AE837" s="184" t="str">
        <f>OBRA!Y835</f>
        <v>C. DANIEL RODRIGUEZ VALENZUELA</v>
      </c>
      <c r="AF837" s="19">
        <v>200</v>
      </c>
      <c r="AG837" s="2" t="s">
        <v>1548</v>
      </c>
      <c r="AH837" s="655">
        <f t="shared" si="66"/>
        <v>1938.6976000000002</v>
      </c>
      <c r="AI837" s="2">
        <v>1000</v>
      </c>
      <c r="AJ837" s="2">
        <v>4000</v>
      </c>
      <c r="AK837" s="1991">
        <v>1</v>
      </c>
      <c r="AL837" s="1621">
        <v>20.292089000000001</v>
      </c>
      <c r="AM837" s="1552">
        <v>103.348386</v>
      </c>
      <c r="AN837" s="1349" t="s">
        <v>6053</v>
      </c>
      <c r="AO837" s="1349" t="s">
        <v>6053</v>
      </c>
      <c r="AP837" s="1349" t="s">
        <v>6053</v>
      </c>
      <c r="AQ837" s="1349" t="s">
        <v>6053</v>
      </c>
      <c r="AR837" s="1349" t="s">
        <v>6053</v>
      </c>
      <c r="AS837" s="697" t="s">
        <v>6053</v>
      </c>
      <c r="AT837" s="1853">
        <v>0</v>
      </c>
      <c r="AU837" s="1853">
        <v>0</v>
      </c>
      <c r="AV837" s="1853">
        <v>0</v>
      </c>
      <c r="AW837" s="1853">
        <v>0</v>
      </c>
      <c r="AX837" s="1853">
        <v>0</v>
      </c>
      <c r="AY837" s="1853">
        <v>0</v>
      </c>
      <c r="AZ837" s="1853">
        <v>0</v>
      </c>
      <c r="BA837" s="1853">
        <v>0</v>
      </c>
      <c r="BB837" s="514">
        <v>0</v>
      </c>
      <c r="BC837" s="514">
        <v>0</v>
      </c>
      <c r="BD837" s="514">
        <v>0</v>
      </c>
      <c r="BE837" s="514">
        <v>0</v>
      </c>
      <c r="BF837" s="514">
        <v>0</v>
      </c>
      <c r="BG837" s="514">
        <v>0</v>
      </c>
      <c r="BH837" s="514">
        <v>0</v>
      </c>
      <c r="BI837" s="33"/>
      <c r="BJ837" s="12"/>
    </row>
    <row r="838" spans="1:62" ht="75" hidden="1" customHeight="1">
      <c r="A838" s="16">
        <f>OBRA!K836</f>
        <v>2024</v>
      </c>
      <c r="B838" s="781" t="s">
        <v>3947</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6809</v>
      </c>
      <c r="L838" s="3" t="s">
        <v>6806</v>
      </c>
      <c r="M838" s="3" t="s">
        <v>6031</v>
      </c>
      <c r="N838" s="3" t="str">
        <f>OBRA!R836</f>
        <v>SAN JUAN COSALÁ</v>
      </c>
      <c r="O838" s="505" t="s">
        <v>6044</v>
      </c>
      <c r="P838" s="4">
        <f>OBRA!S836</f>
        <v>132689.01999999999</v>
      </c>
      <c r="Q838" s="1045">
        <f t="shared" si="61"/>
        <v>114387.08620689655</v>
      </c>
      <c r="R838" s="1762" t="s">
        <v>67</v>
      </c>
      <c r="S838" s="6">
        <f>OBRA!T836</f>
        <v>45331</v>
      </c>
      <c r="T838" s="1156">
        <f>OBRA!W836</f>
        <v>45331</v>
      </c>
      <c r="U838" s="5">
        <f>OBRA!U836</f>
        <v>45332</v>
      </c>
      <c r="V838" s="11">
        <f>OBRA!V836</f>
        <v>45344</v>
      </c>
      <c r="W838" s="1557">
        <v>0</v>
      </c>
      <c r="X838" s="1041">
        <f>OBRA!AT836+OBRA!AU836</f>
        <v>116710.62</v>
      </c>
      <c r="Y838" s="1110" t="s">
        <v>6032</v>
      </c>
      <c r="Z838" s="146" t="str">
        <f>OBRA!X836</f>
        <v>ING. SERGIO CABRERA</v>
      </c>
      <c r="AA838" s="146" t="s">
        <v>5668</v>
      </c>
      <c r="AB838" s="1816" t="s">
        <v>4447</v>
      </c>
      <c r="AC838" s="146" t="s">
        <v>1922</v>
      </c>
      <c r="AD838" s="148" t="s">
        <v>6573</v>
      </c>
      <c r="AE838" s="184" t="str">
        <f>OBRA!Y836</f>
        <v>C. DANIEL RODRIGUEZ VALENZUELA</v>
      </c>
      <c r="AF838" s="19">
        <v>151.41</v>
      </c>
      <c r="AG838" s="2" t="s">
        <v>1548</v>
      </c>
      <c r="AH838" s="655">
        <f t="shared" si="66"/>
        <v>770.82504458093911</v>
      </c>
      <c r="AI838" s="2">
        <v>50</v>
      </c>
      <c r="AJ838" s="2">
        <v>300</v>
      </c>
      <c r="AK838" s="1991">
        <v>1</v>
      </c>
      <c r="AL838" s="1621">
        <v>20.289093999999999</v>
      </c>
      <c r="AM838" s="1552">
        <v>103.348412</v>
      </c>
      <c r="AN838" s="1349" t="s">
        <v>6054</v>
      </c>
      <c r="AO838" s="1349" t="s">
        <v>6054</v>
      </c>
      <c r="AP838" s="1349" t="s">
        <v>6054</v>
      </c>
      <c r="AQ838" s="1349" t="s">
        <v>6054</v>
      </c>
      <c r="AR838" s="1349" t="s">
        <v>6054</v>
      </c>
      <c r="AS838" s="697" t="s">
        <v>6054</v>
      </c>
      <c r="AT838" s="1853">
        <v>0</v>
      </c>
      <c r="AU838" s="1853">
        <v>0</v>
      </c>
      <c r="AV838" s="1853">
        <v>0</v>
      </c>
      <c r="AW838" s="1853">
        <v>0</v>
      </c>
      <c r="AX838" s="1853">
        <v>0</v>
      </c>
      <c r="AY838" s="1853">
        <v>0</v>
      </c>
      <c r="AZ838" s="1853">
        <v>0</v>
      </c>
      <c r="BA838" s="1853">
        <v>0</v>
      </c>
      <c r="BB838" s="514">
        <v>0</v>
      </c>
      <c r="BC838" s="514">
        <v>0</v>
      </c>
      <c r="BD838" s="514">
        <v>0</v>
      </c>
      <c r="BE838" s="514">
        <v>0</v>
      </c>
      <c r="BF838" s="514">
        <v>0</v>
      </c>
      <c r="BG838" s="514">
        <v>0</v>
      </c>
      <c r="BH838" s="514">
        <v>0</v>
      </c>
      <c r="BI838" s="33"/>
      <c r="BJ838" s="12"/>
    </row>
    <row r="839" spans="1:62" ht="78" hidden="1" customHeight="1">
      <c r="A839" s="16">
        <f>OBRA!K837</f>
        <v>2024</v>
      </c>
      <c r="B839" s="781" t="s">
        <v>3947</v>
      </c>
      <c r="C839" s="781">
        <f>OBRA!L837</f>
        <v>245004</v>
      </c>
      <c r="D839" s="24" t="s">
        <v>2313</v>
      </c>
      <c r="E839" s="2" t="str">
        <f>OBRA!N837</f>
        <v>CUENTA CORRIENTE</v>
      </c>
      <c r="F839" s="662" t="s">
        <v>1427</v>
      </c>
      <c r="G839" s="156" t="s">
        <v>2209</v>
      </c>
      <c r="H839" s="1838"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6810</v>
      </c>
      <c r="L839" s="3" t="s">
        <v>4754</v>
      </c>
      <c r="M839" s="3" t="s">
        <v>6034</v>
      </c>
      <c r="N839" s="3" t="str">
        <f>OBRA!R837</f>
        <v>SAN PEDRO TESISTÁN</v>
      </c>
      <c r="O839" s="505" t="s">
        <v>6044</v>
      </c>
      <c r="P839" s="4">
        <f>OBRA!S837</f>
        <v>4461580.4000000004</v>
      </c>
      <c r="Q839" s="1045">
        <f t="shared" si="61"/>
        <v>3846190.0000000005</v>
      </c>
      <c r="R839" s="1762" t="s">
        <v>67</v>
      </c>
      <c r="S839" s="6">
        <f>OBRA!T837</f>
        <v>45338</v>
      </c>
      <c r="T839" s="1156" t="str">
        <f>OBRA!W837</f>
        <v>-</v>
      </c>
      <c r="U839" s="5">
        <f>OBRA!U837</f>
        <v>45343</v>
      </c>
      <c r="V839" s="11">
        <f>OBRA!V837</f>
        <v>45402</v>
      </c>
      <c r="W839" s="1557">
        <v>1338474.1200000001</v>
      </c>
      <c r="X839" s="1041">
        <f>OBRA!AT837+OBRA!AU837</f>
        <v>4367131.0199999996</v>
      </c>
      <c r="Y839" s="1110" t="s">
        <v>6035</v>
      </c>
      <c r="Z839" s="146" t="str">
        <f>OBRA!X837</f>
        <v>RAMPER DRILLINGS S.A. DE C.V.</v>
      </c>
      <c r="AA839" s="146" t="s">
        <v>5669</v>
      </c>
      <c r="AB839" s="148" t="s">
        <v>1748</v>
      </c>
      <c r="AC839" s="146" t="s">
        <v>1749</v>
      </c>
      <c r="AD839" s="148" t="s">
        <v>4581</v>
      </c>
      <c r="AE839" s="184" t="str">
        <f>OBRA!Y837</f>
        <v>ARQ. JAIME CONDE GOMEZ</v>
      </c>
      <c r="AF839" s="19">
        <v>250</v>
      </c>
      <c r="AG839" s="2" t="s">
        <v>1450</v>
      </c>
      <c r="AH839" s="655">
        <f t="shared" si="66"/>
        <v>17468.524079999999</v>
      </c>
      <c r="AI839" s="2">
        <v>1400</v>
      </c>
      <c r="AJ839" s="2">
        <v>1400</v>
      </c>
      <c r="AK839" s="1991">
        <v>1</v>
      </c>
      <c r="AL839" s="1621">
        <v>20.224596999999999</v>
      </c>
      <c r="AM839" s="1622">
        <v>103.41150399999999</v>
      </c>
      <c r="AN839" s="1349" t="s">
        <v>6051</v>
      </c>
      <c r="AO839" s="1349" t="s">
        <v>6051</v>
      </c>
      <c r="AP839" s="1349" t="s">
        <v>6051</v>
      </c>
      <c r="AQ839" s="1349" t="s">
        <v>6051</v>
      </c>
      <c r="AR839" s="1349" t="s">
        <v>6051</v>
      </c>
      <c r="AS839" s="697" t="s">
        <v>6051</v>
      </c>
      <c r="AT839" s="1853">
        <v>0</v>
      </c>
      <c r="AU839" s="1853">
        <v>0</v>
      </c>
      <c r="AV839" s="1853">
        <v>0</v>
      </c>
      <c r="AW839" s="1853">
        <v>0</v>
      </c>
      <c r="AX839" s="1853">
        <v>0</v>
      </c>
      <c r="AY839" s="1853">
        <v>0</v>
      </c>
      <c r="AZ839" s="1853">
        <v>0</v>
      </c>
      <c r="BA839" s="1853">
        <v>0</v>
      </c>
      <c r="BB839" s="514">
        <v>0</v>
      </c>
      <c r="BC839" s="514">
        <v>0</v>
      </c>
      <c r="BD839" s="514">
        <v>0</v>
      </c>
      <c r="BE839" s="514">
        <v>0</v>
      </c>
      <c r="BF839" s="514">
        <v>0</v>
      </c>
      <c r="BG839" s="514">
        <v>0</v>
      </c>
      <c r="BH839" s="514">
        <v>0</v>
      </c>
      <c r="BI839" s="33"/>
      <c r="BJ839" s="12"/>
    </row>
    <row r="840" spans="1:62" ht="85.5" hidden="1" customHeight="1">
      <c r="A840" s="16">
        <f>OBRA!K838</f>
        <v>2024</v>
      </c>
      <c r="B840" s="781" t="s">
        <v>3947</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6811</v>
      </c>
      <c r="L840" s="3" t="s">
        <v>6258</v>
      </c>
      <c r="M840" s="3" t="s">
        <v>6343</v>
      </c>
      <c r="N840" s="3" t="str">
        <f>OBRA!R838</f>
        <v>SAN PEDRO TESISTÁN</v>
      </c>
      <c r="O840" s="505" t="s">
        <v>6044</v>
      </c>
      <c r="P840" s="4">
        <f>OBRA!S838</f>
        <v>1863104.13</v>
      </c>
      <c r="Q840" s="1045">
        <f t="shared" si="61"/>
        <v>1606124.25</v>
      </c>
      <c r="R840" s="1762" t="s">
        <v>67</v>
      </c>
      <c r="S840" s="6">
        <f>OBRA!T838</f>
        <v>45356</v>
      </c>
      <c r="T840" s="1156">
        <f>OBRA!W838</f>
        <v>45355</v>
      </c>
      <c r="U840" s="5">
        <f>OBRA!U838</f>
        <v>45362</v>
      </c>
      <c r="V840" s="11">
        <f>OBRA!V838</f>
        <v>45376</v>
      </c>
      <c r="W840" s="1557">
        <v>558931.24</v>
      </c>
      <c r="X840" s="1041">
        <f>OBRA!AT838+OBRA!AU838</f>
        <v>1617850.41</v>
      </c>
      <c r="Y840" s="1110" t="s">
        <v>6046</v>
      </c>
      <c r="Z840" s="146" t="str">
        <f>OBRA!X838</f>
        <v>C. SERGIO CABRERA</v>
      </c>
      <c r="AA840" s="146" t="s">
        <v>5668</v>
      </c>
      <c r="AB840" s="1816" t="s">
        <v>4447</v>
      </c>
      <c r="AC840" s="146" t="s">
        <v>1922</v>
      </c>
      <c r="AD840" s="148" t="s">
        <v>6573</v>
      </c>
      <c r="AE840" s="184" t="str">
        <f>OBRA!Y838</f>
        <v>ING. DALIA JUDITH VARGAS HOYOS</v>
      </c>
      <c r="AF840" s="19">
        <f>286+286</f>
        <v>572</v>
      </c>
      <c r="AG840" s="2" t="s">
        <v>1450</v>
      </c>
      <c r="AH840" s="607">
        <f t="shared" si="66"/>
        <v>2828.4098076923074</v>
      </c>
      <c r="AI840" s="2">
        <v>200</v>
      </c>
      <c r="AJ840" s="2">
        <v>500</v>
      </c>
      <c r="AK840" s="1991">
        <v>1</v>
      </c>
      <c r="AL840" s="1621">
        <v>20.230066000000001</v>
      </c>
      <c r="AM840" s="1552">
        <v>103.41699800000001</v>
      </c>
      <c r="AN840" s="1349" t="s">
        <v>6167</v>
      </c>
      <c r="AO840" s="1349" t="s">
        <v>6167</v>
      </c>
      <c r="AP840" s="1349" t="s">
        <v>6167</v>
      </c>
      <c r="AQ840" s="1349" t="s">
        <v>6167</v>
      </c>
      <c r="AR840" s="1349" t="s">
        <v>6167</v>
      </c>
      <c r="AS840" s="697" t="s">
        <v>6167</v>
      </c>
      <c r="AT840" s="1869">
        <f>445409.3*1.16</f>
        <v>516674.78799999994</v>
      </c>
      <c r="AU840" s="1869"/>
      <c r="AV840" s="1869">
        <f>1160714.95*1.16</f>
        <v>1346429.3419999999</v>
      </c>
      <c r="AW840" s="1869"/>
      <c r="AX840" s="1869">
        <v>0</v>
      </c>
      <c r="AY840" s="1869">
        <v>0</v>
      </c>
      <c r="AZ840" s="1869"/>
      <c r="BA840" s="1869">
        <v>0</v>
      </c>
      <c r="BB840" s="2">
        <v>286</v>
      </c>
      <c r="BC840" s="2"/>
      <c r="BD840" s="2">
        <v>286</v>
      </c>
      <c r="BE840" s="2">
        <v>0</v>
      </c>
      <c r="BF840" s="2">
        <v>0</v>
      </c>
      <c r="BG840" s="2">
        <v>0</v>
      </c>
      <c r="BH840" s="413"/>
      <c r="BI840" s="413"/>
      <c r="BJ840" s="12"/>
    </row>
    <row r="841" spans="1:62" ht="93.75" hidden="1" customHeight="1">
      <c r="A841" s="16">
        <f>OBRA!K839</f>
        <v>2024</v>
      </c>
      <c r="B841" s="781" t="s">
        <v>3947</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6813</v>
      </c>
      <c r="L841" s="3" t="s">
        <v>4755</v>
      </c>
      <c r="M841" s="3" t="s">
        <v>6343</v>
      </c>
      <c r="N841" s="3" t="str">
        <f>OBRA!R839</f>
        <v>SAN PEDRO TESISTÁN</v>
      </c>
      <c r="O841" s="505" t="s">
        <v>6044</v>
      </c>
      <c r="P841" s="4">
        <f>OBRA!S839</f>
        <v>1911380.28</v>
      </c>
      <c r="Q841" s="1045">
        <f t="shared" si="61"/>
        <v>1647741.6206896554</v>
      </c>
      <c r="R841" s="1762" t="s">
        <v>67</v>
      </c>
      <c r="S841" s="6">
        <f>OBRA!T839</f>
        <v>45355</v>
      </c>
      <c r="T841" s="1156">
        <f>OBRA!W839</f>
        <v>45355</v>
      </c>
      <c r="U841" s="5">
        <f>OBRA!U839</f>
        <v>45355</v>
      </c>
      <c r="V841" s="11">
        <f>OBRA!V839</f>
        <v>45369</v>
      </c>
      <c r="W841" s="1557">
        <v>573414.07999999996</v>
      </c>
      <c r="X841" s="1041">
        <f>OBRA!AT839+OBRA!AU839</f>
        <v>1856041.13</v>
      </c>
      <c r="Y841" s="1110" t="s">
        <v>6045</v>
      </c>
      <c r="Z841" s="146" t="str">
        <f>OBRA!X839</f>
        <v>TERRACERÍAS Y PAVIMENTOS DE LA RIBERA, S.A. DE C.V.</v>
      </c>
      <c r="AA841" s="146" t="s">
        <v>5668</v>
      </c>
      <c r="AB841" s="1816" t="s">
        <v>4447</v>
      </c>
      <c r="AC841" s="146" t="s">
        <v>1922</v>
      </c>
      <c r="AD841" s="148" t="s">
        <v>6573</v>
      </c>
      <c r="AE841" s="184" t="str">
        <f>OBRA!Y839</f>
        <v>ING. DALIA JUDITH VARGAS HOYOS</v>
      </c>
      <c r="AF841" s="19">
        <v>1561.23</v>
      </c>
      <c r="AG841" s="2" t="s">
        <v>1548</v>
      </c>
      <c r="AH841" s="607">
        <f t="shared" si="66"/>
        <v>1188.8326063424352</v>
      </c>
      <c r="AI841" s="2">
        <v>200</v>
      </c>
      <c r="AJ841" s="2">
        <v>500</v>
      </c>
      <c r="AK841" s="1991">
        <v>1</v>
      </c>
      <c r="AL841" s="1621">
        <v>20.230066000000001</v>
      </c>
      <c r="AM841" s="1552">
        <v>103.41699800000001</v>
      </c>
      <c r="AN841" s="1349" t="s">
        <v>6169</v>
      </c>
      <c r="AO841" s="1349" t="s">
        <v>6169</v>
      </c>
      <c r="AP841" s="1349" t="s">
        <v>6169</v>
      </c>
      <c r="AQ841" s="496" t="s">
        <v>6169</v>
      </c>
      <c r="AR841" s="496" t="s">
        <v>6169</v>
      </c>
      <c r="AS841" s="697" t="s">
        <v>6169</v>
      </c>
      <c r="AT841" s="1853">
        <v>0</v>
      </c>
      <c r="AU841" s="1853">
        <v>0</v>
      </c>
      <c r="AV841" s="1853">
        <v>0</v>
      </c>
      <c r="AW841" s="1853">
        <v>0</v>
      </c>
      <c r="AX841" s="1853">
        <v>0</v>
      </c>
      <c r="AY841" s="1853">
        <v>0</v>
      </c>
      <c r="AZ841" s="1853">
        <v>0</v>
      </c>
      <c r="BA841" s="1853">
        <v>0</v>
      </c>
      <c r="BB841" s="514">
        <v>0</v>
      </c>
      <c r="BC841" s="514">
        <v>0</v>
      </c>
      <c r="BD841" s="514">
        <v>0</v>
      </c>
      <c r="BE841" s="514">
        <v>0</v>
      </c>
      <c r="BF841" s="514">
        <v>0</v>
      </c>
      <c r="BG841" s="514">
        <v>0</v>
      </c>
      <c r="BH841" s="514">
        <v>0</v>
      </c>
      <c r="BI841" s="33"/>
      <c r="BJ841" s="12"/>
    </row>
    <row r="842" spans="1:62" ht="86.25" hidden="1" customHeight="1">
      <c r="A842" s="16">
        <f>OBRA!K840</f>
        <v>2024</v>
      </c>
      <c r="B842" s="781" t="s">
        <v>3947</v>
      </c>
      <c r="C842" s="781">
        <f>OBRA!L840</f>
        <v>245007</v>
      </c>
      <c r="D842" s="24" t="s">
        <v>2313</v>
      </c>
      <c r="E842" s="2" t="str">
        <f>OBRA!N840</f>
        <v>CUENTA CORRIENTE</v>
      </c>
      <c r="F842" s="662" t="s">
        <v>1427</v>
      </c>
      <c r="G842" s="156" t="s">
        <v>2209</v>
      </c>
      <c r="H842" s="1746"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6823</v>
      </c>
      <c r="L842" s="3" t="s">
        <v>6254</v>
      </c>
      <c r="M842" s="3" t="s">
        <v>6343</v>
      </c>
      <c r="N842" s="3" t="str">
        <f>OBRA!R840</f>
        <v>SAN PEDRO TESISTÁN</v>
      </c>
      <c r="O842" s="505" t="s">
        <v>6044</v>
      </c>
      <c r="P842" s="4">
        <f>OBRA!S840</f>
        <v>431465.57</v>
      </c>
      <c r="Q842" s="1045">
        <f t="shared" si="61"/>
        <v>371953.07758620696</v>
      </c>
      <c r="R842" s="1762" t="s">
        <v>67</v>
      </c>
      <c r="S842" s="6">
        <f>OBRA!T840</f>
        <v>45356</v>
      </c>
      <c r="T842" s="1156">
        <f>OBRA!W840</f>
        <v>45355</v>
      </c>
      <c r="U842" s="5">
        <f>OBRA!U840</f>
        <v>45374</v>
      </c>
      <c r="V842" s="11">
        <f>OBRA!V840</f>
        <v>45379</v>
      </c>
      <c r="W842" s="1557">
        <v>0</v>
      </c>
      <c r="X842" s="1041">
        <f>OBRA!AT840+OBRA!AU840</f>
        <v>392418.51</v>
      </c>
      <c r="Y842" s="1040" t="s">
        <v>6158</v>
      </c>
      <c r="Z842" s="146" t="str">
        <f>OBRA!X840</f>
        <v>TERRACERÍAS Y PAVIMENTOS DE LA RIBERA, S.A. DE C.V.</v>
      </c>
      <c r="AA842" s="146" t="s">
        <v>5669</v>
      </c>
      <c r="AB842" s="1828" t="s">
        <v>4447</v>
      </c>
      <c r="AC842" s="1829" t="s">
        <v>3473</v>
      </c>
      <c r="AD842" s="1828" t="s">
        <v>6073</v>
      </c>
      <c r="AE842" s="184" t="str">
        <f>OBRA!Y840</f>
        <v>ING. DALIA JUDITH VARGAS HOYOS</v>
      </c>
      <c r="AF842" s="19">
        <v>504.65</v>
      </c>
      <c r="AG842" s="2" t="s">
        <v>1548</v>
      </c>
      <c r="AH842" s="607">
        <f t="shared" si="66"/>
        <v>777.60529079560092</v>
      </c>
      <c r="AI842" s="2">
        <v>200</v>
      </c>
      <c r="AJ842" s="2">
        <v>500</v>
      </c>
      <c r="AK842" s="1991">
        <v>1</v>
      </c>
      <c r="AL842" s="1621">
        <v>20.230066000000001</v>
      </c>
      <c r="AM842" s="1552">
        <v>103.41699800000001</v>
      </c>
      <c r="AN842" s="1349" t="s">
        <v>6526</v>
      </c>
      <c r="AO842" s="1349" t="s">
        <v>6526</v>
      </c>
      <c r="AP842" s="1349" t="s">
        <v>6526</v>
      </c>
      <c r="AQ842" s="496" t="s">
        <v>6526</v>
      </c>
      <c r="AR842" s="496" t="s">
        <v>6526</v>
      </c>
      <c r="AS842" s="697" t="s">
        <v>6526</v>
      </c>
      <c r="AT842" s="1869">
        <v>0</v>
      </c>
      <c r="AU842" s="1869"/>
      <c r="AV842" s="1869">
        <v>0</v>
      </c>
      <c r="AW842" s="1869"/>
      <c r="AX842" s="1869">
        <v>0</v>
      </c>
      <c r="AY842" s="1869">
        <v>431465.57</v>
      </c>
      <c r="AZ842" s="1869"/>
      <c r="BA842" s="1869">
        <v>0</v>
      </c>
      <c r="BB842" s="2">
        <v>0</v>
      </c>
      <c r="BC842" s="2"/>
      <c r="BD842" s="2">
        <v>0</v>
      </c>
      <c r="BE842" s="2">
        <v>0</v>
      </c>
      <c r="BF842" s="2">
        <v>0</v>
      </c>
      <c r="BG842" s="2">
        <v>504.65</v>
      </c>
      <c r="BH842" s="413"/>
      <c r="BI842" s="413"/>
      <c r="BJ842" s="12"/>
    </row>
    <row r="843" spans="1:62" ht="111.75" hidden="1" customHeight="1">
      <c r="A843" s="16">
        <f>OBRA!K841</f>
        <v>2024</v>
      </c>
      <c r="B843" s="781" t="s">
        <v>3947</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6816</v>
      </c>
      <c r="L843" s="3" t="s">
        <v>4754</v>
      </c>
      <c r="M843" s="3" t="s">
        <v>6040</v>
      </c>
      <c r="N843" s="3" t="str">
        <f>OBRA!R841</f>
        <v>CABECERA MUNICIPAL</v>
      </c>
      <c r="O843" s="505" t="s">
        <v>6044</v>
      </c>
      <c r="P843" s="4">
        <f>OBRA!S841</f>
        <v>7514599.0899999999</v>
      </c>
      <c r="Q843" s="1045">
        <f t="shared" si="61"/>
        <v>6478102.6637931038</v>
      </c>
      <c r="R843" s="1762" t="s">
        <v>67</v>
      </c>
      <c r="S843" s="6">
        <f>OBRA!T841</f>
        <v>45350</v>
      </c>
      <c r="T843" s="1156" t="str">
        <f>OBRA!W841</f>
        <v>-</v>
      </c>
      <c r="U843" s="5">
        <f>OBRA!U841</f>
        <v>45351</v>
      </c>
      <c r="V843" s="11">
        <f>OBRA!V841</f>
        <v>45427</v>
      </c>
      <c r="W843" s="1557">
        <v>2254379.73</v>
      </c>
      <c r="X843" s="1041">
        <f>OBRA!AT841+OBRA!AU841</f>
        <v>8072090.79</v>
      </c>
      <c r="Y843" s="1110" t="s">
        <v>6041</v>
      </c>
      <c r="Z843" s="146" t="str">
        <f>OBRA!X841</f>
        <v xml:space="preserve">EDIFICACIONES GRADINA, S.A. DE C.V. </v>
      </c>
      <c r="AA843" s="146" t="s">
        <v>5669</v>
      </c>
      <c r="AB843" s="148" t="s">
        <v>6143</v>
      </c>
      <c r="AC843" s="146" t="s">
        <v>6050</v>
      </c>
      <c r="AD843" s="148" t="s">
        <v>6575</v>
      </c>
      <c r="AE843" s="184" t="str">
        <f>OBRA!Y841</f>
        <v>ING. J. GUADALUPE IBARRA RAMIREZ</v>
      </c>
      <c r="AF843" s="19">
        <v>350</v>
      </c>
      <c r="AG843" s="2" t="s">
        <v>1450</v>
      </c>
      <c r="AH843" s="607">
        <f t="shared" si="66"/>
        <v>23063.116542857144</v>
      </c>
      <c r="AI843" s="2">
        <v>2200</v>
      </c>
      <c r="AJ843" s="2">
        <v>8000</v>
      </c>
      <c r="AK843" s="1991">
        <v>1</v>
      </c>
      <c r="AL843" s="1621">
        <v>20.285806000000001</v>
      </c>
      <c r="AM843" s="1552">
        <v>103.429776</v>
      </c>
      <c r="AN843" s="1349" t="s">
        <v>6168</v>
      </c>
      <c r="AO843" s="1349" t="s">
        <v>6168</v>
      </c>
      <c r="AP843" s="1349" t="s">
        <v>6168</v>
      </c>
      <c r="AQ843" s="496" t="s">
        <v>6168</v>
      </c>
      <c r="AR843" s="496" t="s">
        <v>6168</v>
      </c>
      <c r="AS843" s="697" t="s">
        <v>6168</v>
      </c>
      <c r="AT843" s="1853">
        <v>0</v>
      </c>
      <c r="AU843" s="1853">
        <v>0</v>
      </c>
      <c r="AV843" s="1853">
        <v>0</v>
      </c>
      <c r="AW843" s="1853">
        <v>0</v>
      </c>
      <c r="AX843" s="1853">
        <v>0</v>
      </c>
      <c r="AY843" s="1853">
        <v>0</v>
      </c>
      <c r="AZ843" s="1853">
        <v>0</v>
      </c>
      <c r="BA843" s="1853">
        <v>0</v>
      </c>
      <c r="BB843" s="514">
        <v>0</v>
      </c>
      <c r="BC843" s="514">
        <v>0</v>
      </c>
      <c r="BD843" s="514">
        <v>0</v>
      </c>
      <c r="BE843" s="514">
        <v>0</v>
      </c>
      <c r="BF843" s="514">
        <v>0</v>
      </c>
      <c r="BG843" s="514">
        <v>0</v>
      </c>
      <c r="BH843" s="514">
        <v>0</v>
      </c>
      <c r="BI843" s="33"/>
      <c r="BJ843" s="12"/>
    </row>
    <row r="844" spans="1:62" ht="91.5" hidden="1" customHeight="1">
      <c r="A844" s="16">
        <f>OBRA!K842</f>
        <v>2024</v>
      </c>
      <c r="B844" s="781" t="s">
        <v>3947</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6824</v>
      </c>
      <c r="L844" s="3" t="s">
        <v>2563</v>
      </c>
      <c r="M844" s="3" t="s">
        <v>6154</v>
      </c>
      <c r="N844" s="3" t="str">
        <f>OBRA!R842</f>
        <v>CABECERA MUNICIPAL</v>
      </c>
      <c r="O844" s="505" t="s">
        <v>6044</v>
      </c>
      <c r="P844" s="4">
        <f>OBRA!S842</f>
        <v>948599.13</v>
      </c>
      <c r="Q844" s="1045">
        <f t="shared" si="61"/>
        <v>817757.87068965519</v>
      </c>
      <c r="R844" s="1762" t="s">
        <v>67</v>
      </c>
      <c r="S844" s="6">
        <f>OBRA!T842</f>
        <v>45363</v>
      </c>
      <c r="T844" s="1156">
        <f>OBRA!W842</f>
        <v>45362</v>
      </c>
      <c r="U844" s="5">
        <f>OBRA!U842</f>
        <v>45384</v>
      </c>
      <c r="V844" s="11">
        <f>OBRA!V842</f>
        <v>45467</v>
      </c>
      <c r="W844" s="1557">
        <f>P844*0.3</f>
        <v>284579.739</v>
      </c>
      <c r="X844" s="1041">
        <f>OBRA!AT842+OBRA!AU842</f>
        <v>988798.45</v>
      </c>
      <c r="Y844" s="1040" t="s">
        <v>6159</v>
      </c>
      <c r="Z844" s="146" t="str">
        <f>OBRA!X842</f>
        <v>SOLEC ENERGY, S.A. DE C.V.</v>
      </c>
      <c r="AA844" s="146" t="s">
        <v>5669</v>
      </c>
      <c r="AB844" s="148" t="s">
        <v>4551</v>
      </c>
      <c r="AC844" s="146" t="s">
        <v>4552</v>
      </c>
      <c r="AD844" s="1366" t="s">
        <v>6576</v>
      </c>
      <c r="AE844" s="184" t="str">
        <f>OBRA!Y842</f>
        <v>ING. LUIS RIGOBERTO OLMEDO NAVARRO</v>
      </c>
      <c r="AF844" s="19">
        <v>1</v>
      </c>
      <c r="AG844" s="2" t="s">
        <v>1573</v>
      </c>
      <c r="AH844" s="607">
        <f t="shared" si="66"/>
        <v>988798.45</v>
      </c>
      <c r="AI844" s="2">
        <v>2000</v>
      </c>
      <c r="AJ844" s="2">
        <v>22000</v>
      </c>
      <c r="AK844" s="1991">
        <v>1</v>
      </c>
      <c r="AL844" s="1551">
        <v>20.283450999999999</v>
      </c>
      <c r="AM844" s="1552">
        <v>103.417547</v>
      </c>
      <c r="AN844" s="1349" t="s">
        <v>6170</v>
      </c>
      <c r="AO844" s="1349" t="s">
        <v>6170</v>
      </c>
      <c r="AP844" s="1349" t="s">
        <v>6170</v>
      </c>
      <c r="AQ844" s="496" t="s">
        <v>6170</v>
      </c>
      <c r="AR844" s="496" t="s">
        <v>6170</v>
      </c>
      <c r="AS844" s="697" t="s">
        <v>6170</v>
      </c>
      <c r="AT844" s="1853">
        <v>0</v>
      </c>
      <c r="AU844" s="1853">
        <v>0</v>
      </c>
      <c r="AV844" s="1853">
        <v>0</v>
      </c>
      <c r="AW844" s="1853">
        <v>0</v>
      </c>
      <c r="AX844" s="1853">
        <v>0</v>
      </c>
      <c r="AY844" s="1853">
        <v>0</v>
      </c>
      <c r="AZ844" s="1853">
        <v>0</v>
      </c>
      <c r="BA844" s="1853">
        <v>0</v>
      </c>
      <c r="BB844" s="514">
        <v>0</v>
      </c>
      <c r="BC844" s="514">
        <v>0</v>
      </c>
      <c r="BD844" s="514">
        <v>0</v>
      </c>
      <c r="BE844" s="514">
        <v>0</v>
      </c>
      <c r="BF844" s="514">
        <v>0</v>
      </c>
      <c r="BG844" s="514">
        <v>0</v>
      </c>
      <c r="BH844" s="514">
        <v>0</v>
      </c>
      <c r="BI844" s="33"/>
      <c r="BJ844" s="12"/>
    </row>
    <row r="845" spans="1:62" ht="56.25" hidden="1" customHeight="1">
      <c r="A845" s="16">
        <f>OBRA!K843</f>
        <v>2024</v>
      </c>
      <c r="B845" s="781" t="s">
        <v>3947</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6825</v>
      </c>
      <c r="L845" s="3" t="s">
        <v>6260</v>
      </c>
      <c r="M845" s="3" t="s">
        <v>6155</v>
      </c>
      <c r="N845" s="3" t="str">
        <f>OBRA!R843</f>
        <v>ZAPOTITÁN DE HIDALGO</v>
      </c>
      <c r="O845" s="505" t="s">
        <v>6044</v>
      </c>
      <c r="P845" s="4">
        <f>OBRA!S843</f>
        <v>568143.82999999996</v>
      </c>
      <c r="Q845" s="1045">
        <f t="shared" si="61"/>
        <v>489779.16379310342</v>
      </c>
      <c r="R845" s="1762" t="s">
        <v>67</v>
      </c>
      <c r="S845" s="6">
        <f>OBRA!T843</f>
        <v>45364</v>
      </c>
      <c r="T845" s="1156">
        <f>OBRA!W843</f>
        <v>45363</v>
      </c>
      <c r="U845" s="5">
        <f>OBRA!U843</f>
        <v>45376</v>
      </c>
      <c r="V845" s="11">
        <f>OBRA!V843</f>
        <v>45413</v>
      </c>
      <c r="W845" s="1557">
        <f>P845*0.3</f>
        <v>170443.14899999998</v>
      </c>
      <c r="X845" s="1041">
        <f>OBRA!AT843+OBRA!AU843</f>
        <v>701966.8</v>
      </c>
      <c r="Y845" s="1040" t="s">
        <v>6160</v>
      </c>
      <c r="Z845" s="146" t="str">
        <f>OBRA!X843</f>
        <v>ALSERCON SA DE CV</v>
      </c>
      <c r="AA845" s="146" t="s">
        <v>5669</v>
      </c>
      <c r="AB845" s="1816" t="s">
        <v>2164</v>
      </c>
      <c r="AC845" s="1817" t="s">
        <v>2165</v>
      </c>
      <c r="AD845" s="1816" t="s">
        <v>6112</v>
      </c>
      <c r="AE845" s="184" t="s">
        <v>212</v>
      </c>
      <c r="AF845" s="19">
        <v>43.2</v>
      </c>
      <c r="AG845" s="2" t="s">
        <v>1548</v>
      </c>
      <c r="AH845" s="607">
        <f t="shared" si="66"/>
        <v>16249.231481481482</v>
      </c>
      <c r="AI845" s="2">
        <v>200</v>
      </c>
      <c r="AJ845" s="2">
        <v>500</v>
      </c>
      <c r="AK845" s="1991">
        <v>1</v>
      </c>
      <c r="AL845" s="1551">
        <v>20.326571000000001</v>
      </c>
      <c r="AM845" s="1552">
        <v>103.47636300000001</v>
      </c>
      <c r="AN845" s="1349" t="s">
        <v>6171</v>
      </c>
      <c r="AO845" s="1349" t="s">
        <v>6171</v>
      </c>
      <c r="AP845" s="1349" t="s">
        <v>6171</v>
      </c>
      <c r="AQ845" s="496" t="s">
        <v>6171</v>
      </c>
      <c r="AR845" s="891"/>
      <c r="AS845" s="697" t="s">
        <v>6946</v>
      </c>
      <c r="AT845" s="1853">
        <v>0</v>
      </c>
      <c r="AU845" s="1853">
        <v>0</v>
      </c>
      <c r="AV845" s="1853">
        <v>0</v>
      </c>
      <c r="AW845" s="1853">
        <v>0</v>
      </c>
      <c r="AX845" s="1853">
        <v>0</v>
      </c>
      <c r="AY845" s="1853">
        <v>0</v>
      </c>
      <c r="AZ845" s="1853">
        <v>0</v>
      </c>
      <c r="BA845" s="1853">
        <v>0</v>
      </c>
      <c r="BB845" s="514">
        <v>0</v>
      </c>
      <c r="BC845" s="514">
        <v>0</v>
      </c>
      <c r="BD845" s="514">
        <v>0</v>
      </c>
      <c r="BE845" s="514">
        <v>0</v>
      </c>
      <c r="BF845" s="514">
        <v>0</v>
      </c>
      <c r="BG845" s="514">
        <v>0</v>
      </c>
      <c r="BH845" s="514">
        <v>0</v>
      </c>
      <c r="BI845" s="33"/>
      <c r="BJ845" s="12"/>
    </row>
    <row r="846" spans="1:62" ht="96.75" hidden="1" customHeight="1">
      <c r="A846" s="16">
        <f>OBRA!K844</f>
        <v>2024</v>
      </c>
      <c r="B846" s="781" t="s">
        <v>3947</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6827</v>
      </c>
      <c r="L846" s="3" t="s">
        <v>6261</v>
      </c>
      <c r="M846" s="3" t="s">
        <v>6092</v>
      </c>
      <c r="N846" s="3" t="str">
        <f>OBRA!R844</f>
        <v>CABECERA MUNICIPAL</v>
      </c>
      <c r="O846" s="505" t="s">
        <v>6512</v>
      </c>
      <c r="P846" s="4">
        <f>OBRA!S844</f>
        <v>5799082.5300000003</v>
      </c>
      <c r="Q846" s="1045">
        <f t="shared" ref="Q846:Q852" si="67">P846/1.16</f>
        <v>4999209.0775862075</v>
      </c>
      <c r="R846" s="1762" t="s">
        <v>67</v>
      </c>
      <c r="S846" s="6">
        <f>OBRA!T844</f>
        <v>45394</v>
      </c>
      <c r="T846" s="1156" t="str">
        <f>OBRA!W844</f>
        <v>-</v>
      </c>
      <c r="U846" s="5">
        <f>OBRA!U844</f>
        <v>45397</v>
      </c>
      <c r="V846" s="11">
        <f>OBRA!V844</f>
        <v>45458</v>
      </c>
      <c r="W846" s="1557">
        <v>1739724.76</v>
      </c>
      <c r="X846" s="1041">
        <f>OBRA!AT844+OBRA!AU844</f>
        <v>7572122.3899999997</v>
      </c>
      <c r="Y846" s="1040" t="s">
        <v>6527</v>
      </c>
      <c r="Z846" s="146" t="str">
        <f>OBRA!X844</f>
        <v>TERRACERÍAS Y PAVIMENTOS DE LA RIBERA, S.A. DE C.V.</v>
      </c>
      <c r="AA846" s="146" t="s">
        <v>5669</v>
      </c>
      <c r="AB846" s="1828" t="s">
        <v>4447</v>
      </c>
      <c r="AC846" s="1829" t="s">
        <v>3473</v>
      </c>
      <c r="AD846" s="1828" t="s">
        <v>6073</v>
      </c>
      <c r="AE846" s="184" t="str">
        <f>OBRA!Y844</f>
        <v>C. DANIEL RODRIGUEZ VALENZUELA</v>
      </c>
      <c r="AF846" s="19">
        <v>640</v>
      </c>
      <c r="AG846" s="2" t="s">
        <v>1450</v>
      </c>
      <c r="AH846" s="607">
        <f t="shared" si="66"/>
        <v>11831.441234374999</v>
      </c>
      <c r="AI846" s="2">
        <v>2000</v>
      </c>
      <c r="AJ846" s="2">
        <v>22000</v>
      </c>
      <c r="AK846" s="1991">
        <v>1</v>
      </c>
      <c r="AL846" s="1551">
        <v>20.286213</v>
      </c>
      <c r="AM846" s="1552">
        <v>103.416695</v>
      </c>
      <c r="AN846" s="1349" t="s">
        <v>6528</v>
      </c>
      <c r="AO846" s="1349" t="s">
        <v>6528</v>
      </c>
      <c r="AP846" s="1349" t="s">
        <v>6528</v>
      </c>
      <c r="AQ846" s="496" t="s">
        <v>6528</v>
      </c>
      <c r="AR846" s="496" t="s">
        <v>6528</v>
      </c>
      <c r="AS846" s="697" t="s">
        <v>6528</v>
      </c>
      <c r="AT846" s="1853">
        <v>0</v>
      </c>
      <c r="AU846" s="1853">
        <v>0</v>
      </c>
      <c r="AV846" s="1853">
        <v>0</v>
      </c>
      <c r="AW846" s="1853">
        <v>0</v>
      </c>
      <c r="AX846" s="1853">
        <v>0</v>
      </c>
      <c r="AY846" s="1853">
        <v>0</v>
      </c>
      <c r="AZ846" s="1853">
        <v>0</v>
      </c>
      <c r="BA846" s="1853">
        <v>0</v>
      </c>
      <c r="BB846" s="514">
        <v>0</v>
      </c>
      <c r="BC846" s="514">
        <v>0</v>
      </c>
      <c r="BD846" s="514">
        <v>0</v>
      </c>
      <c r="BE846" s="514">
        <v>0</v>
      </c>
      <c r="BF846" s="514">
        <v>0</v>
      </c>
      <c r="BG846" s="514">
        <v>0</v>
      </c>
      <c r="BH846" s="514">
        <v>0</v>
      </c>
      <c r="BI846" s="33"/>
      <c r="BJ846" s="12"/>
    </row>
    <row r="847" spans="1:62" ht="75" hidden="1" customHeight="1">
      <c r="A847" s="16">
        <f>OBRA!K845</f>
        <v>2024</v>
      </c>
      <c r="B847" s="781" t="s">
        <v>3947</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6817</v>
      </c>
      <c r="L847" s="3" t="s">
        <v>4754</v>
      </c>
      <c r="M847" s="3" t="s">
        <v>6177</v>
      </c>
      <c r="N847" s="3" t="str">
        <f>OBRA!R845</f>
        <v>CABECERA MUNICIPAL</v>
      </c>
      <c r="O847" s="505" t="s">
        <v>6512</v>
      </c>
      <c r="P847" s="4">
        <f>OBRA!S845</f>
        <v>4428068</v>
      </c>
      <c r="Q847" s="1045">
        <f t="shared" si="67"/>
        <v>3817300.0000000005</v>
      </c>
      <c r="R847" s="1762" t="s">
        <v>67</v>
      </c>
      <c r="S847" s="6">
        <f>OBRA!T845</f>
        <v>45394</v>
      </c>
      <c r="T847" s="1156" t="str">
        <f>OBRA!W845</f>
        <v>-</v>
      </c>
      <c r="U847" s="5">
        <f>OBRA!U845</f>
        <v>45414</v>
      </c>
      <c r="V847" s="11">
        <f>OBRA!V845</f>
        <v>45458</v>
      </c>
      <c r="W847" s="1557">
        <v>1328420.3999999999</v>
      </c>
      <c r="X847" s="1041">
        <f>OBRA!AT845+OBRA!AU845</f>
        <v>5581497.9199999999</v>
      </c>
      <c r="Y847" s="1040" t="s">
        <v>6178</v>
      </c>
      <c r="Z847" s="146" t="str">
        <f>OBRA!X845</f>
        <v>VICTOR SAUL RAMOS MORALES</v>
      </c>
      <c r="AA847" s="146" t="s">
        <v>5668</v>
      </c>
      <c r="AB847" s="148" t="str">
        <f>Z847</f>
        <v>VICTOR SAUL RAMOS MORALES</v>
      </c>
      <c r="AC847" s="146" t="s">
        <v>6179</v>
      </c>
      <c r="AD847" s="148" t="s">
        <v>6577</v>
      </c>
      <c r="AE847" s="184" t="str">
        <f>OBRA!Y845</f>
        <v>ING. LUIS RIGOBERTO OLMEDO NAVARRO</v>
      </c>
      <c r="AF847" s="19">
        <v>350</v>
      </c>
      <c r="AG847" s="2" t="s">
        <v>1450</v>
      </c>
      <c r="AH847" s="607">
        <f t="shared" si="66"/>
        <v>15947.136914285715</v>
      </c>
      <c r="AI847" s="2">
        <v>5500</v>
      </c>
      <c r="AJ847" s="2">
        <v>22000</v>
      </c>
      <c r="AK847" s="1991">
        <v>1</v>
      </c>
      <c r="AL847" s="1621">
        <v>20.286714</v>
      </c>
      <c r="AM847" s="1622">
        <v>103.42418499999999</v>
      </c>
      <c r="AN847" s="1349" t="s">
        <v>6530</v>
      </c>
      <c r="AO847" s="1349" t="s">
        <v>6530</v>
      </c>
      <c r="AP847" s="1349" t="s">
        <v>6530</v>
      </c>
      <c r="AQ847" s="511"/>
      <c r="AR847" s="511"/>
      <c r="AS847" s="697" t="s">
        <v>6530</v>
      </c>
      <c r="AT847" s="1853">
        <v>0</v>
      </c>
      <c r="AU847" s="1853">
        <v>0</v>
      </c>
      <c r="AV847" s="1853">
        <v>0</v>
      </c>
      <c r="AW847" s="1853">
        <v>0</v>
      </c>
      <c r="AX847" s="1853">
        <v>0</v>
      </c>
      <c r="AY847" s="1853">
        <v>0</v>
      </c>
      <c r="AZ847" s="1853">
        <v>0</v>
      </c>
      <c r="BA847" s="1853">
        <v>0</v>
      </c>
      <c r="BB847" s="514">
        <v>0</v>
      </c>
      <c r="BC847" s="514">
        <v>0</v>
      </c>
      <c r="BD847" s="514">
        <v>0</v>
      </c>
      <c r="BE847" s="514">
        <v>0</v>
      </c>
      <c r="BF847" s="514">
        <v>0</v>
      </c>
      <c r="BG847" s="514">
        <v>0</v>
      </c>
      <c r="BH847" s="514">
        <v>0</v>
      </c>
      <c r="BI847" s="33"/>
      <c r="BJ847" s="12"/>
    </row>
    <row r="848" spans="1:62" ht="133.5" hidden="1" customHeight="1">
      <c r="A848" s="16">
        <f>OBRA!K846</f>
        <v>2024</v>
      </c>
      <c r="B848" s="781" t="s">
        <v>3947</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6826</v>
      </c>
      <c r="L848" s="3" t="s">
        <v>6260</v>
      </c>
      <c r="M848" s="3" t="s">
        <v>4785</v>
      </c>
      <c r="N848" s="3" t="str">
        <f>OBRA!R846</f>
        <v>ZAPOTITÁN DE HIDALGO</v>
      </c>
      <c r="O848" s="505" t="s">
        <v>6512</v>
      </c>
      <c r="P848" s="4">
        <f>OBRA!S846</f>
        <v>979189.38</v>
      </c>
      <c r="Q848" s="1045">
        <f t="shared" si="67"/>
        <v>844128.77586206899</v>
      </c>
      <c r="R848" s="1762" t="s">
        <v>67</v>
      </c>
      <c r="S848" s="6">
        <f>OBRA!T846</f>
        <v>45400</v>
      </c>
      <c r="T848" s="1156">
        <f>OBRA!W846</f>
        <v>45399</v>
      </c>
      <c r="U848" s="5">
        <f>OBRA!U846</f>
        <v>45418</v>
      </c>
      <c r="V848" s="11">
        <f>OBRA!V846</f>
        <v>45443</v>
      </c>
      <c r="W848" s="1557">
        <v>293756.81</v>
      </c>
      <c r="X848" s="1041">
        <f>OBRA!AT846+OBRA!AU846</f>
        <v>979189.38</v>
      </c>
      <c r="Y848" s="1040" t="s">
        <v>6531</v>
      </c>
      <c r="Z848" s="146" t="str">
        <f>OBRA!X846</f>
        <v>ALSERCON SA DE CV</v>
      </c>
      <c r="AA848" s="146" t="s">
        <v>5669</v>
      </c>
      <c r="AB848" s="148" t="s">
        <v>2164</v>
      </c>
      <c r="AC848" s="146" t="s">
        <v>2165</v>
      </c>
      <c r="AD848" s="148" t="s">
        <v>6572</v>
      </c>
      <c r="AE848" s="184" t="str">
        <f>OBRA!Y846</f>
        <v>ARQ. JAIME CONDE GOMEZ</v>
      </c>
      <c r="AF848" s="19">
        <v>570</v>
      </c>
      <c r="AG848" s="2" t="s">
        <v>1548</v>
      </c>
      <c r="AH848" s="607">
        <f t="shared" si="66"/>
        <v>1717.8761052631578</v>
      </c>
      <c r="AI848" s="2">
        <v>150</v>
      </c>
      <c r="AJ848" s="2">
        <v>1300</v>
      </c>
      <c r="AK848" s="1991">
        <v>1</v>
      </c>
      <c r="AL848" s="1621">
        <v>20.327373000000001</v>
      </c>
      <c r="AM848" s="1622">
        <v>103.482738</v>
      </c>
      <c r="AN848" s="1349" t="s">
        <v>6532</v>
      </c>
      <c r="AO848" s="1349" t="s">
        <v>6532</v>
      </c>
      <c r="AP848" s="1349" t="s">
        <v>6532</v>
      </c>
      <c r="AQ848" s="496" t="s">
        <v>6532</v>
      </c>
      <c r="AR848" s="496" t="s">
        <v>6532</v>
      </c>
      <c r="AS848" s="512"/>
      <c r="AT848" s="1853">
        <v>0</v>
      </c>
      <c r="AU848" s="1853">
        <v>0</v>
      </c>
      <c r="AV848" s="1853">
        <v>0</v>
      </c>
      <c r="AW848" s="1853">
        <v>0</v>
      </c>
      <c r="AX848" s="1853">
        <v>0</v>
      </c>
      <c r="AY848" s="1853">
        <v>0</v>
      </c>
      <c r="AZ848" s="1853">
        <v>0</v>
      </c>
      <c r="BA848" s="1853">
        <v>0</v>
      </c>
      <c r="BB848" s="514">
        <v>0</v>
      </c>
      <c r="BC848" s="514">
        <v>0</v>
      </c>
      <c r="BD848" s="514">
        <v>0</v>
      </c>
      <c r="BE848" s="514">
        <v>0</v>
      </c>
      <c r="BF848" s="514">
        <v>0</v>
      </c>
      <c r="BG848" s="514">
        <v>0</v>
      </c>
      <c r="BH848" s="514">
        <v>0</v>
      </c>
      <c r="BI848" s="33"/>
      <c r="BJ848" s="12"/>
    </row>
    <row r="849" spans="1:62" ht="92.25" hidden="1" customHeight="1">
      <c r="A849" s="16">
        <f>OBRA!K847</f>
        <v>2024</v>
      </c>
      <c r="B849" s="781" t="s">
        <v>3947</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6818</v>
      </c>
      <c r="L849" s="3" t="s">
        <v>4754</v>
      </c>
      <c r="M849" s="3" t="s">
        <v>6040</v>
      </c>
      <c r="N849" s="3" t="str">
        <f>OBRA!R847</f>
        <v>CABECERA MUNICIPAL</v>
      </c>
      <c r="O849" s="505" t="s">
        <v>6512</v>
      </c>
      <c r="P849" s="4">
        <f>OBRA!S847</f>
        <v>802898.64</v>
      </c>
      <c r="Q849" s="1045">
        <f t="shared" si="67"/>
        <v>692154.00000000012</v>
      </c>
      <c r="R849" s="1762" t="s">
        <v>67</v>
      </c>
      <c r="S849" s="6">
        <f>OBRA!T847</f>
        <v>45419</v>
      </c>
      <c r="T849" s="1156">
        <f>OBRA!W847</f>
        <v>45418</v>
      </c>
      <c r="U849" s="5">
        <f>OBRA!U847</f>
        <v>45420</v>
      </c>
      <c r="V849" s="11">
        <f>OBRA!V847</f>
        <v>45442</v>
      </c>
      <c r="W849" s="1557">
        <f>P849*0.3</f>
        <v>240869.592</v>
      </c>
      <c r="X849" s="1041">
        <f>OBRA!AT847+OBRA!AU847</f>
        <v>802898.41</v>
      </c>
      <c r="Y849" s="1040" t="s">
        <v>6173</v>
      </c>
      <c r="Z849" s="146" t="str">
        <f>OBRA!X847</f>
        <v>ING. MARCO ANTONIO PAREDES RODRÍGUEZ</v>
      </c>
      <c r="AA849" s="146" t="s">
        <v>5668</v>
      </c>
      <c r="AB849" s="1816" t="s">
        <v>3745</v>
      </c>
      <c r="AC849" s="146" t="s">
        <v>4295</v>
      </c>
      <c r="AD849" s="148" t="s">
        <v>6571</v>
      </c>
      <c r="AE849" s="184" t="str">
        <f>OBRA!Y847</f>
        <v>ING. J. GUADALUPE IBARRA RAMIREZ</v>
      </c>
      <c r="AF849" s="19">
        <v>1</v>
      </c>
      <c r="AG849" s="2" t="s">
        <v>1573</v>
      </c>
      <c r="AH849" s="607">
        <f t="shared" si="66"/>
        <v>802898.41</v>
      </c>
      <c r="AI849" s="2">
        <v>2200</v>
      </c>
      <c r="AJ849" s="2">
        <v>8000</v>
      </c>
      <c r="AK849" s="1991">
        <v>1</v>
      </c>
      <c r="AL849" s="1621">
        <v>20.285806000000001</v>
      </c>
      <c r="AM849" s="1622">
        <v>103.429776</v>
      </c>
      <c r="AN849" s="1349" t="s">
        <v>6533</v>
      </c>
      <c r="AO849" s="1349" t="s">
        <v>6533</v>
      </c>
      <c r="AP849" s="1349" t="s">
        <v>6533</v>
      </c>
      <c r="AQ849" s="496" t="s">
        <v>6533</v>
      </c>
      <c r="AR849" s="496" t="s">
        <v>6533</v>
      </c>
      <c r="AS849" s="697" t="s">
        <v>6533</v>
      </c>
      <c r="AT849" s="1853">
        <v>0</v>
      </c>
      <c r="AU849" s="1853">
        <v>0</v>
      </c>
      <c r="AV849" s="1853">
        <v>0</v>
      </c>
      <c r="AW849" s="1853">
        <v>0</v>
      </c>
      <c r="AX849" s="1853">
        <v>0</v>
      </c>
      <c r="AY849" s="1853">
        <v>0</v>
      </c>
      <c r="AZ849" s="1853">
        <v>0</v>
      </c>
      <c r="BA849" s="1853">
        <v>0</v>
      </c>
      <c r="BB849" s="514">
        <v>0</v>
      </c>
      <c r="BC849" s="514">
        <v>0</v>
      </c>
      <c r="BD849" s="514">
        <v>0</v>
      </c>
      <c r="BE849" s="514">
        <v>0</v>
      </c>
      <c r="BF849" s="514">
        <v>0</v>
      </c>
      <c r="BG849" s="514">
        <v>0</v>
      </c>
      <c r="BH849" s="514">
        <v>0</v>
      </c>
      <c r="BI849" s="33"/>
      <c r="BJ849" s="12"/>
    </row>
    <row r="850" spans="1:62" ht="227.25" hidden="1" customHeight="1">
      <c r="A850" s="16">
        <f>OBRA!K848</f>
        <v>2024</v>
      </c>
      <c r="B850" s="781" t="s">
        <v>3947</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6819</v>
      </c>
      <c r="L850" s="3" t="s">
        <v>4754</v>
      </c>
      <c r="M850" s="3" t="s">
        <v>6182</v>
      </c>
      <c r="N850" s="3" t="str">
        <f>OBRA!R848</f>
        <v>CABECERA MUNICIPAL</v>
      </c>
      <c r="O850" s="505" t="s">
        <v>6512</v>
      </c>
      <c r="P850" s="4">
        <f>OBRA!S848</f>
        <v>944743.84</v>
      </c>
      <c r="Q850" s="1045">
        <f t="shared" si="67"/>
        <v>814434.3448275862</v>
      </c>
      <c r="R850" s="1762" t="s">
        <v>67</v>
      </c>
      <c r="S850" s="6">
        <f>OBRA!T848</f>
        <v>45419</v>
      </c>
      <c r="T850" s="1156">
        <f>OBRA!W848</f>
        <v>45418</v>
      </c>
      <c r="U850" s="5">
        <f>OBRA!U848</f>
        <v>45423</v>
      </c>
      <c r="V850" s="11">
        <f>OBRA!V848</f>
        <v>45443</v>
      </c>
      <c r="W850" s="1557">
        <v>0</v>
      </c>
      <c r="X850" s="1041">
        <f>OBRA!AT848+OBRA!AU848</f>
        <v>954258.28</v>
      </c>
      <c r="Y850" s="1040" t="s">
        <v>6183</v>
      </c>
      <c r="Z850" s="146" t="str">
        <f>OBRA!X848</f>
        <v>SOLEC ENERGY, S.A. DE C.V.</v>
      </c>
      <c r="AA850" s="146" t="s">
        <v>5669</v>
      </c>
      <c r="AB850" s="148" t="s">
        <v>4551</v>
      </c>
      <c r="AC850" s="146" t="s">
        <v>4552</v>
      </c>
      <c r="AD850" s="148" t="s">
        <v>6570</v>
      </c>
      <c r="AE850" s="184" t="str">
        <f>OBRA!Y848</f>
        <v>ING. J. GUADALUPE IBARRA RAMIREZ</v>
      </c>
      <c r="AF850" s="19">
        <v>1</v>
      </c>
      <c r="AG850" s="2" t="s">
        <v>1462</v>
      </c>
      <c r="AH850" s="607">
        <f t="shared" si="66"/>
        <v>954258.28</v>
      </c>
      <c r="AI850" s="2">
        <v>2200</v>
      </c>
      <c r="AJ850" s="2">
        <v>8000</v>
      </c>
      <c r="AK850" s="1991">
        <v>1</v>
      </c>
      <c r="AL850" s="1551">
        <v>20.285785000000001</v>
      </c>
      <c r="AM850" s="1552">
        <v>103.429727</v>
      </c>
      <c r="AN850" s="1349" t="s">
        <v>6792</v>
      </c>
      <c r="AO850" s="1349" t="s">
        <v>6792</v>
      </c>
      <c r="AP850" s="1349" t="s">
        <v>6792</v>
      </c>
      <c r="AQ850" s="496" t="s">
        <v>6792</v>
      </c>
      <c r="AR850" s="496" t="s">
        <v>6792</v>
      </c>
      <c r="AS850" s="697" t="s">
        <v>6792</v>
      </c>
      <c r="AT850" s="1853">
        <v>0</v>
      </c>
      <c r="AU850" s="1853">
        <v>0</v>
      </c>
      <c r="AV850" s="1853">
        <v>0</v>
      </c>
      <c r="AW850" s="1853">
        <v>0</v>
      </c>
      <c r="AX850" s="1853">
        <v>0</v>
      </c>
      <c r="AY850" s="1853">
        <v>0</v>
      </c>
      <c r="AZ850" s="1853">
        <v>0</v>
      </c>
      <c r="BA850" s="1853">
        <v>0</v>
      </c>
      <c r="BB850" s="514">
        <v>0</v>
      </c>
      <c r="BC850" s="514">
        <v>0</v>
      </c>
      <c r="BD850" s="514">
        <v>0</v>
      </c>
      <c r="BE850" s="514">
        <v>0</v>
      </c>
      <c r="BF850" s="514">
        <v>0</v>
      </c>
      <c r="BG850" s="514">
        <v>0</v>
      </c>
      <c r="BH850" s="514">
        <v>0</v>
      </c>
      <c r="BI850" s="33"/>
      <c r="BJ850" s="12"/>
    </row>
    <row r="851" spans="1:62" ht="69.75" hidden="1" customHeight="1">
      <c r="A851" s="16">
        <f>OBRA!K849</f>
        <v>2024</v>
      </c>
      <c r="B851" s="781" t="s">
        <v>3947</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6828</v>
      </c>
      <c r="L851" s="3" t="s">
        <v>6256</v>
      </c>
      <c r="M851" s="3" t="s">
        <v>4002</v>
      </c>
      <c r="N851" s="3" t="str">
        <f>OBRA!R849</f>
        <v>CABECERA MUNICIPAL</v>
      </c>
      <c r="O851" s="505" t="s">
        <v>6512</v>
      </c>
      <c r="P851" s="4">
        <f>OBRA!S849</f>
        <v>152167.64000000001</v>
      </c>
      <c r="Q851" s="1045">
        <f t="shared" si="67"/>
        <v>131179.00000000003</v>
      </c>
      <c r="R851" s="1762" t="s">
        <v>67</v>
      </c>
      <c r="S851" s="6">
        <f>OBRA!T849</f>
        <v>45446</v>
      </c>
      <c r="T851" s="1156">
        <f>OBRA!W849</f>
        <v>45443</v>
      </c>
      <c r="U851" s="5">
        <f>OBRA!U849</f>
        <v>45432</v>
      </c>
      <c r="V851" s="11">
        <f>OBRA!V849</f>
        <v>45440</v>
      </c>
      <c r="W851" s="1557">
        <v>0</v>
      </c>
      <c r="X851" s="1041">
        <f>OBRA!AT849+OBRA!AU849</f>
        <v>152167.64000000001</v>
      </c>
      <c r="Y851" s="1040" t="s">
        <v>6185</v>
      </c>
      <c r="Z851" s="146" t="str">
        <f>OBRA!X849</f>
        <v>SOLEC ENERGY, S.A. DE C.V.</v>
      </c>
      <c r="AA851" s="146" t="s">
        <v>5669</v>
      </c>
      <c r="AB851" s="148" t="s">
        <v>4551</v>
      </c>
      <c r="AC851" s="146" t="s">
        <v>4552</v>
      </c>
      <c r="AD851" s="1366" t="s">
        <v>6570</v>
      </c>
      <c r="AE851" s="184" t="str">
        <f>OBRA!Y849</f>
        <v>ING. LUIS RIGOBERTO OLMEDO NAVARRO</v>
      </c>
      <c r="AF851" s="19">
        <v>3</v>
      </c>
      <c r="AG851" s="2" t="s">
        <v>1467</v>
      </c>
      <c r="AH851" s="607">
        <f t="shared" si="66"/>
        <v>50722.546666666669</v>
      </c>
      <c r="AI851" s="2">
        <v>2000</v>
      </c>
      <c r="AJ851" s="2">
        <v>2000</v>
      </c>
      <c r="AK851" s="1991">
        <v>1</v>
      </c>
      <c r="AL851" s="1551">
        <v>20.279914000000002</v>
      </c>
      <c r="AM851" s="1552">
        <v>103.43153599999999</v>
      </c>
      <c r="AN851" s="1349" t="s">
        <v>6534</v>
      </c>
      <c r="AO851" s="1349" t="s">
        <v>6534</v>
      </c>
      <c r="AP851" s="1349" t="s">
        <v>6534</v>
      </c>
      <c r="AQ851" s="496" t="s">
        <v>6534</v>
      </c>
      <c r="AR851" s="496" t="s">
        <v>6534</v>
      </c>
      <c r="AS851" s="697" t="s">
        <v>6534</v>
      </c>
      <c r="AT851" s="1853">
        <v>0</v>
      </c>
      <c r="AU851" s="1853">
        <v>0</v>
      </c>
      <c r="AV851" s="1853">
        <v>0</v>
      </c>
      <c r="AW851" s="1853">
        <v>0</v>
      </c>
      <c r="AX851" s="1853">
        <v>0</v>
      </c>
      <c r="AY851" s="1853">
        <v>0</v>
      </c>
      <c r="AZ851" s="1853">
        <v>0</v>
      </c>
      <c r="BA851" s="1853">
        <v>0</v>
      </c>
      <c r="BB851" s="514">
        <v>0</v>
      </c>
      <c r="BC851" s="514">
        <v>0</v>
      </c>
      <c r="BD851" s="514">
        <v>0</v>
      </c>
      <c r="BE851" s="514">
        <v>0</v>
      </c>
      <c r="BF851" s="514">
        <v>0</v>
      </c>
      <c r="BG851" s="514">
        <v>0</v>
      </c>
      <c r="BH851" s="514">
        <v>0</v>
      </c>
      <c r="BI851" s="33"/>
      <c r="BJ851" s="12"/>
    </row>
    <row r="852" spans="1:62" ht="108.75" hidden="1" customHeight="1">
      <c r="A852" s="16">
        <f>OBRA!K850</f>
        <v>2024</v>
      </c>
      <c r="B852" s="781" t="s">
        <v>3947</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00" t="s">
        <v>6830</v>
      </c>
      <c r="L852" s="3" t="s">
        <v>6262</v>
      </c>
      <c r="M852" s="3" t="s">
        <v>6240</v>
      </c>
      <c r="N852" s="3" t="str">
        <f>OBRA!R850</f>
        <v>CABECERA MUNICIPAL</v>
      </c>
      <c r="O852" s="505" t="s">
        <v>6512</v>
      </c>
      <c r="P852" s="4">
        <f>OBRA!S850</f>
        <v>687485.47</v>
      </c>
      <c r="Q852" s="1045">
        <f t="shared" si="67"/>
        <v>592659.88793103455</v>
      </c>
      <c r="R852" s="1762" t="s">
        <v>67</v>
      </c>
      <c r="S852" s="6">
        <f>OBRA!T850</f>
        <v>45450</v>
      </c>
      <c r="T852" s="1156">
        <f>OBRA!W850</f>
        <v>45449</v>
      </c>
      <c r="U852" s="5">
        <f>OBRA!U850</f>
        <v>45453</v>
      </c>
      <c r="V852" s="11">
        <f>OBRA!V850</f>
        <v>45471</v>
      </c>
      <c r="W852" s="1557">
        <v>206245.64</v>
      </c>
      <c r="X852" s="1041">
        <f>OBRA!AT850+OBRA!AU850</f>
        <v>687485.47</v>
      </c>
      <c r="Y852" s="1040" t="s">
        <v>6371</v>
      </c>
      <c r="Z852" s="146" t="str">
        <f>OBRA!X850</f>
        <v xml:space="preserve">DORIA &amp; SAMPIER CONSTRUCTORA, S.A. DE C.V. </v>
      </c>
      <c r="AA852" s="146" t="s">
        <v>5669</v>
      </c>
      <c r="AB852" s="1816" t="s">
        <v>5610</v>
      </c>
      <c r="AC852" s="146" t="s">
        <v>4404</v>
      </c>
      <c r="AD852" s="148" t="s">
        <v>6574</v>
      </c>
      <c r="AE852" s="184" t="str">
        <f>OBRA!Y850</f>
        <v>ING. J. GUADALUPE IBARRA RAMIREZ</v>
      </c>
      <c r="AF852" s="19">
        <f>2077+2280+800</f>
        <v>5157</v>
      </c>
      <c r="AG852" s="2" t="s">
        <v>1548</v>
      </c>
      <c r="AH852" s="607">
        <f t="shared" si="66"/>
        <v>133.31112468489431</v>
      </c>
      <c r="AI852" s="2" t="s">
        <v>67</v>
      </c>
      <c r="AJ852" s="2">
        <v>49000</v>
      </c>
      <c r="AK852" s="1991">
        <v>1</v>
      </c>
      <c r="AL852" s="1551">
        <v>20.288929</v>
      </c>
      <c r="AM852" s="1552">
        <v>103.46734600000001</v>
      </c>
      <c r="AN852" s="1349" t="s">
        <v>6535</v>
      </c>
      <c r="AO852" s="1349" t="s">
        <v>6535</v>
      </c>
      <c r="AP852" s="1349" t="s">
        <v>6535</v>
      </c>
      <c r="AQ852" s="496" t="s">
        <v>6535</v>
      </c>
      <c r="AR852" s="496" t="s">
        <v>6535</v>
      </c>
      <c r="AS852" s="697" t="s">
        <v>6535</v>
      </c>
      <c r="AT852" s="1853">
        <v>0</v>
      </c>
      <c r="AU852" s="1853">
        <v>0</v>
      </c>
      <c r="AV852" s="1853">
        <v>0</v>
      </c>
      <c r="AW852" s="1853">
        <v>0</v>
      </c>
      <c r="AX852" s="1853">
        <v>0</v>
      </c>
      <c r="AY852" s="1853">
        <v>0</v>
      </c>
      <c r="AZ852" s="1853">
        <v>0</v>
      </c>
      <c r="BA852" s="1853">
        <v>0</v>
      </c>
      <c r="BB852" s="514">
        <v>0</v>
      </c>
      <c r="BC852" s="514">
        <v>0</v>
      </c>
      <c r="BD852" s="514">
        <v>0</v>
      </c>
      <c r="BE852" s="514">
        <v>0</v>
      </c>
      <c r="BF852" s="514">
        <v>0</v>
      </c>
      <c r="BG852" s="514">
        <v>0</v>
      </c>
      <c r="BH852" s="514">
        <v>0</v>
      </c>
      <c r="BI852" s="33"/>
      <c r="BJ852" s="12"/>
    </row>
    <row r="853" spans="1:62" ht="161.25" hidden="1" customHeight="1">
      <c r="A853" s="16">
        <f>OBRA!K851</f>
        <v>2024</v>
      </c>
      <c r="B853" s="781" t="s">
        <v>3947</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6831</v>
      </c>
      <c r="L853" s="3" t="s">
        <v>4748</v>
      </c>
      <c r="M853" s="3" t="s">
        <v>6263</v>
      </c>
      <c r="N853" s="3" t="str">
        <f>OBRA!R851</f>
        <v>SAN PEDRO TESISTÁN</v>
      </c>
      <c r="O853" s="505" t="s">
        <v>6512</v>
      </c>
      <c r="P853" s="4">
        <f>OBRA!S851</f>
        <v>1298701.05</v>
      </c>
      <c r="Q853" s="1045">
        <f t="shared" ref="Q853:Q873" si="68">P853/1.16</f>
        <v>1119569.8706896552</v>
      </c>
      <c r="R853" s="1762" t="s">
        <v>67</v>
      </c>
      <c r="S853" s="6">
        <f>OBRA!T851</f>
        <v>45448</v>
      </c>
      <c r="T853" s="1156">
        <f>OBRA!W851</f>
        <v>45448</v>
      </c>
      <c r="U853" s="5">
        <f>OBRA!U851</f>
        <v>45450</v>
      </c>
      <c r="V853" s="11">
        <f>OBRA!V851</f>
        <v>45464</v>
      </c>
      <c r="W853" s="1557">
        <v>0</v>
      </c>
      <c r="X853" s="1041">
        <f>OBRA!AT851+OBRA!AU851</f>
        <v>1378125.6</v>
      </c>
      <c r="Y853" s="1040" t="s">
        <v>6372</v>
      </c>
      <c r="Z853" s="146" t="str">
        <f>OBRA!X851</f>
        <v>INFRAESTRUCTURA GUSEV, S.A. DE C.V.</v>
      </c>
      <c r="AA853" s="146" t="s">
        <v>5669</v>
      </c>
      <c r="AB853" s="148" t="s">
        <v>6549</v>
      </c>
      <c r="AC853" s="146" t="s">
        <v>6536</v>
      </c>
      <c r="AD853" s="148" t="s">
        <v>6537</v>
      </c>
      <c r="AE853" s="184" t="str">
        <f>OBRA!Y851</f>
        <v>C. DANIEL RODRIGUEZ VALENZUELA</v>
      </c>
      <c r="AF853" s="19">
        <v>675.27</v>
      </c>
      <c r="AG853" s="2" t="s">
        <v>1450</v>
      </c>
      <c r="AH853" s="607">
        <f t="shared" si="66"/>
        <v>2040.8512150695278</v>
      </c>
      <c r="AI853" s="2">
        <v>1400</v>
      </c>
      <c r="AJ853" s="2">
        <v>1400</v>
      </c>
      <c r="AK853" s="1991">
        <v>1</v>
      </c>
      <c r="AL853" s="1551">
        <v>20.224906000000001</v>
      </c>
      <c r="AM853" s="1552">
        <v>103.41237099999999</v>
      </c>
      <c r="AN853" s="1349" t="s">
        <v>6540</v>
      </c>
      <c r="AO853" s="1349" t="s">
        <v>6540</v>
      </c>
      <c r="AP853" s="1349" t="s">
        <v>6540</v>
      </c>
      <c r="AQ853" s="1349" t="s">
        <v>6540</v>
      </c>
      <c r="AR853" s="1261"/>
      <c r="AS853" s="697" t="s">
        <v>6540</v>
      </c>
      <c r="AT853" s="1853">
        <v>0</v>
      </c>
      <c r="AU853" s="1853">
        <v>0</v>
      </c>
      <c r="AV853" s="1853">
        <v>0</v>
      </c>
      <c r="AW853" s="1853">
        <v>0</v>
      </c>
      <c r="AX853" s="1853">
        <v>0</v>
      </c>
      <c r="AY853" s="1853">
        <v>0</v>
      </c>
      <c r="AZ853" s="1853">
        <v>0</v>
      </c>
      <c r="BA853" s="1853">
        <v>0</v>
      </c>
      <c r="BB853" s="514">
        <v>0</v>
      </c>
      <c r="BC853" s="514">
        <v>0</v>
      </c>
      <c r="BD853" s="514">
        <v>0</v>
      </c>
      <c r="BE853" s="514">
        <v>0</v>
      </c>
      <c r="BF853" s="514">
        <v>0</v>
      </c>
      <c r="BG853" s="514">
        <v>0</v>
      </c>
      <c r="BH853" s="514">
        <v>0</v>
      </c>
      <c r="BI853" s="33"/>
      <c r="BJ853" s="12"/>
    </row>
    <row r="854" spans="1:62" ht="72" hidden="1" customHeight="1">
      <c r="A854" s="16">
        <f>OBRA!K852</f>
        <v>2024</v>
      </c>
      <c r="B854" s="781" t="s">
        <v>3947</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6829</v>
      </c>
      <c r="L854" s="3" t="s">
        <v>6256</v>
      </c>
      <c r="M854" s="3" t="s">
        <v>5413</v>
      </c>
      <c r="N854" s="3" t="str">
        <f>OBRA!R852</f>
        <v>CABECERA MUNICIPAL</v>
      </c>
      <c r="O854" s="505" t="s">
        <v>6512</v>
      </c>
      <c r="P854" s="4">
        <f>OBRA!S852</f>
        <v>204310.14</v>
      </c>
      <c r="Q854" s="1045">
        <f t="shared" si="68"/>
        <v>176129.43103448278</v>
      </c>
      <c r="R854" s="1762" t="s">
        <v>67</v>
      </c>
      <c r="S854" s="6">
        <f>OBRA!T852</f>
        <v>45470</v>
      </c>
      <c r="T854" s="1156">
        <f>OBRA!W852</f>
        <v>45469</v>
      </c>
      <c r="U854" s="5">
        <f>OBRA!U852</f>
        <v>45477</v>
      </c>
      <c r="V854" s="11">
        <f>OBRA!V852</f>
        <v>45491</v>
      </c>
      <c r="W854" s="1557">
        <v>0</v>
      </c>
      <c r="X854" s="1041">
        <f>OBRA!AT852+OBRA!AU852</f>
        <v>204310.14</v>
      </c>
      <c r="Y854" s="1040" t="s">
        <v>6373</v>
      </c>
      <c r="Z854" s="146" t="str">
        <f>OBRA!X852</f>
        <v>SOLEC ENERGY, S.A. DE C.V.</v>
      </c>
      <c r="AA854" s="146" t="s">
        <v>5669</v>
      </c>
      <c r="AB854" s="148" t="s">
        <v>4551</v>
      </c>
      <c r="AC854" s="146" t="s">
        <v>4552</v>
      </c>
      <c r="AD854" s="1366" t="s">
        <v>6570</v>
      </c>
      <c r="AE854" s="184" t="str">
        <f>OBRA!Y852</f>
        <v>ING. LUIS RIGOBERTO OLMEDO NAVARRO</v>
      </c>
      <c r="AF854" s="19">
        <v>6</v>
      </c>
      <c r="AG854" s="2" t="s">
        <v>1841</v>
      </c>
      <c r="AH854" s="607">
        <f t="shared" si="66"/>
        <v>34051.69</v>
      </c>
      <c r="AI854" s="2">
        <v>200</v>
      </c>
      <c r="AJ854" s="2">
        <v>5000</v>
      </c>
      <c r="AK854" s="1991">
        <v>1</v>
      </c>
      <c r="AL854" s="1551">
        <v>20.291888</v>
      </c>
      <c r="AM854" s="1552">
        <v>103.430611</v>
      </c>
      <c r="AN854" s="1349" t="s">
        <v>6541</v>
      </c>
      <c r="AO854" s="1349" t="s">
        <v>6541</v>
      </c>
      <c r="AP854" s="1349" t="s">
        <v>6541</v>
      </c>
      <c r="AQ854" s="1349" t="s">
        <v>6541</v>
      </c>
      <c r="AR854" s="1349" t="s">
        <v>6541</v>
      </c>
      <c r="AS854" s="697" t="s">
        <v>6541</v>
      </c>
      <c r="AT854" s="1853">
        <v>0</v>
      </c>
      <c r="AU854" s="1853">
        <v>0</v>
      </c>
      <c r="AV854" s="1853">
        <v>0</v>
      </c>
      <c r="AW854" s="1853">
        <v>0</v>
      </c>
      <c r="AX854" s="1853">
        <v>0</v>
      </c>
      <c r="AY854" s="1853">
        <v>0</v>
      </c>
      <c r="AZ854" s="1853">
        <v>0</v>
      </c>
      <c r="BA854" s="1853">
        <v>0</v>
      </c>
      <c r="BB854" s="514">
        <v>0</v>
      </c>
      <c r="BC854" s="514">
        <v>0</v>
      </c>
      <c r="BD854" s="514">
        <v>0</v>
      </c>
      <c r="BE854" s="514">
        <v>0</v>
      </c>
      <c r="BF854" s="514">
        <v>0</v>
      </c>
      <c r="BG854" s="514">
        <v>0</v>
      </c>
      <c r="BH854" s="514">
        <v>0</v>
      </c>
      <c r="BI854" s="33"/>
      <c r="BJ854" s="12"/>
    </row>
    <row r="855" spans="1:62" ht="240" hidden="1" customHeight="1">
      <c r="A855" s="16">
        <f>OBRA!K853</f>
        <v>2024</v>
      </c>
      <c r="B855" s="781" t="s">
        <v>3947</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6834</v>
      </c>
      <c r="L855" s="3" t="s">
        <v>6242</v>
      </c>
      <c r="M855" s="3" t="s">
        <v>6264</v>
      </c>
      <c r="N855" s="3" t="str">
        <f>OBRA!R853</f>
        <v>CABECERA MUNICIPAL</v>
      </c>
      <c r="O855" s="505" t="s">
        <v>6512</v>
      </c>
      <c r="P855" s="4">
        <f>OBRA!S853</f>
        <v>1801948.36</v>
      </c>
      <c r="Q855" s="1045">
        <f t="shared" si="68"/>
        <v>1553403.7586206899</v>
      </c>
      <c r="R855" s="1762" t="s">
        <v>67</v>
      </c>
      <c r="S855" s="6">
        <f>OBRA!T853</f>
        <v>45468</v>
      </c>
      <c r="T855" s="1156">
        <f>OBRA!W853</f>
        <v>45467</v>
      </c>
      <c r="U855" s="5">
        <f>OBRA!U853</f>
        <v>45470</v>
      </c>
      <c r="V855" s="11">
        <f>OBRA!V853</f>
        <v>45548</v>
      </c>
      <c r="W855" s="1557">
        <v>540584.5</v>
      </c>
      <c r="X855" s="1041">
        <f>OBRA!AT853+OBRA!AU853</f>
        <v>1936618.31</v>
      </c>
      <c r="Y855" s="1040" t="s">
        <v>6372</v>
      </c>
      <c r="Z855" s="146" t="str">
        <f>OBRA!X853</f>
        <v>INFRAESTRUCTURA GUSEV, S.A. DE C.V.</v>
      </c>
      <c r="AA855" s="146" t="s">
        <v>5669</v>
      </c>
      <c r="AB855" s="148" t="s">
        <v>6549</v>
      </c>
      <c r="AC855" s="146" t="s">
        <v>6536</v>
      </c>
      <c r="AD855" s="1366" t="s">
        <v>6537</v>
      </c>
      <c r="AE855" s="184" t="str">
        <f>OBRA!Y853</f>
        <v>C. DANIEL RODRIGUEZ VALENZUELA</v>
      </c>
      <c r="AF855" s="19">
        <v>474.58</v>
      </c>
      <c r="AG855" s="2" t="s">
        <v>1548</v>
      </c>
      <c r="AH855" s="607">
        <f t="shared" si="66"/>
        <v>4080.699376290615</v>
      </c>
      <c r="AI855" s="2" t="s">
        <v>67</v>
      </c>
      <c r="AJ855" s="2">
        <v>49000</v>
      </c>
      <c r="AK855" s="1991">
        <v>1</v>
      </c>
      <c r="AL855" s="1551">
        <v>20.280428000000001</v>
      </c>
      <c r="AM855" s="1552">
        <v>103.431247</v>
      </c>
      <c r="AN855" s="1349" t="s">
        <v>6542</v>
      </c>
      <c r="AO855" s="1349" t="s">
        <v>6542</v>
      </c>
      <c r="AP855" s="1349" t="s">
        <v>6542</v>
      </c>
      <c r="AQ855" s="496" t="s">
        <v>6542</v>
      </c>
      <c r="AR855" s="891"/>
      <c r="AS855" s="697" t="s">
        <v>6542</v>
      </c>
      <c r="AT855" s="1853">
        <v>0</v>
      </c>
      <c r="AU855" s="1853">
        <v>0</v>
      </c>
      <c r="AV855" s="1853">
        <v>0</v>
      </c>
      <c r="AW855" s="1853">
        <v>0</v>
      </c>
      <c r="AX855" s="1853">
        <v>0</v>
      </c>
      <c r="AY855" s="1853">
        <v>0</v>
      </c>
      <c r="AZ855" s="1853">
        <v>0</v>
      </c>
      <c r="BA855" s="1853">
        <v>0</v>
      </c>
      <c r="BB855" s="514">
        <v>0</v>
      </c>
      <c r="BC855" s="514">
        <v>0</v>
      </c>
      <c r="BD855" s="514">
        <v>0</v>
      </c>
      <c r="BE855" s="514">
        <v>0</v>
      </c>
      <c r="BF855" s="514">
        <v>0</v>
      </c>
      <c r="BG855" s="514">
        <v>0</v>
      </c>
      <c r="BH855" s="514">
        <v>0</v>
      </c>
      <c r="BI855" s="33"/>
      <c r="BJ855" s="12"/>
    </row>
    <row r="856" spans="1:62" ht="75" hidden="1" customHeight="1">
      <c r="A856" s="16">
        <f>OBRA!K854</f>
        <v>2024</v>
      </c>
      <c r="B856" s="781" t="s">
        <v>3947</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6837</v>
      </c>
      <c r="L856" s="3" t="s">
        <v>4750</v>
      </c>
      <c r="M856" s="3" t="s">
        <v>6265</v>
      </c>
      <c r="N856" s="3" t="str">
        <f>OBRA!R854</f>
        <v>NEXTIPAC</v>
      </c>
      <c r="O856" s="505" t="s">
        <v>6513</v>
      </c>
      <c r="P856" s="4">
        <f>OBRA!S854</f>
        <v>424277.78</v>
      </c>
      <c r="Q856" s="1045">
        <f t="shared" si="68"/>
        <v>365756.70689655177</v>
      </c>
      <c r="R856" s="1762" t="s">
        <v>67</v>
      </c>
      <c r="S856" s="6">
        <f>OBRA!T854</f>
        <v>45470</v>
      </c>
      <c r="T856" s="1156">
        <f>OBRA!W854</f>
        <v>45469</v>
      </c>
      <c r="U856" s="5">
        <f>OBRA!U854</f>
        <v>45471</v>
      </c>
      <c r="V856" s="11">
        <f>OBRA!V854</f>
        <v>45476</v>
      </c>
      <c r="W856" s="1557">
        <v>0</v>
      </c>
      <c r="X856" s="1041">
        <f>OBRA!AT854+OBRA!AU854</f>
        <v>424277.78</v>
      </c>
      <c r="Y856" s="1040" t="s">
        <v>6374</v>
      </c>
      <c r="Z856" s="146" t="str">
        <f>OBRA!X854</f>
        <v>SERGIO CABRERA</v>
      </c>
      <c r="AA856" s="146" t="s">
        <v>5668</v>
      </c>
      <c r="AB856" s="1816" t="s">
        <v>4447</v>
      </c>
      <c r="AC856" s="146" t="s">
        <v>1922</v>
      </c>
      <c r="AD856" s="148" t="s">
        <v>6573</v>
      </c>
      <c r="AE856" s="184" t="str">
        <f>OBRA!Y854</f>
        <v>C. DANIEL RODRIGUEZ VALENZUELA</v>
      </c>
      <c r="AF856" s="19">
        <v>132</v>
      </c>
      <c r="AG856" s="2" t="s">
        <v>1450</v>
      </c>
      <c r="AH856" s="607">
        <f t="shared" si="66"/>
        <v>3214.2256060606064</v>
      </c>
      <c r="AI856" s="2">
        <v>150</v>
      </c>
      <c r="AJ856" s="2">
        <v>150</v>
      </c>
      <c r="AK856" s="1991">
        <v>1</v>
      </c>
      <c r="AL856" s="1551">
        <v>20.278127000000001</v>
      </c>
      <c r="AM856" s="1552">
        <v>103.415932</v>
      </c>
      <c r="AN856" s="1349" t="s">
        <v>6543</v>
      </c>
      <c r="AO856" s="1349" t="s">
        <v>6543</v>
      </c>
      <c r="AP856" s="1349" t="s">
        <v>6543</v>
      </c>
      <c r="AQ856" s="496" t="s">
        <v>6543</v>
      </c>
      <c r="AR856" s="496" t="s">
        <v>6543</v>
      </c>
      <c r="AS856" s="697" t="s">
        <v>6543</v>
      </c>
      <c r="AT856" s="1853">
        <v>0</v>
      </c>
      <c r="AU856" s="1853">
        <v>0</v>
      </c>
      <c r="AV856" s="1853">
        <v>0</v>
      </c>
      <c r="AW856" s="1853">
        <v>0</v>
      </c>
      <c r="AX856" s="1853">
        <v>0</v>
      </c>
      <c r="AY856" s="1853">
        <v>0</v>
      </c>
      <c r="AZ856" s="1853">
        <v>0</v>
      </c>
      <c r="BA856" s="1853">
        <v>0</v>
      </c>
      <c r="BB856" s="514">
        <v>0</v>
      </c>
      <c r="BC856" s="514">
        <v>0</v>
      </c>
      <c r="BD856" s="514">
        <v>0</v>
      </c>
      <c r="BE856" s="514">
        <v>0</v>
      </c>
      <c r="BF856" s="514">
        <v>0</v>
      </c>
      <c r="BG856" s="514">
        <v>0</v>
      </c>
      <c r="BH856" s="514">
        <v>0</v>
      </c>
      <c r="BI856" s="33"/>
      <c r="BJ856" s="12"/>
    </row>
    <row r="857" spans="1:62" ht="75" hidden="1" customHeight="1">
      <c r="A857" s="16">
        <f>OBRA!K855</f>
        <v>2024</v>
      </c>
      <c r="B857" s="781" t="s">
        <v>3947</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6832</v>
      </c>
      <c r="L857" s="3" t="s">
        <v>4748</v>
      </c>
      <c r="M857" s="3" t="s">
        <v>6265</v>
      </c>
      <c r="N857" s="3" t="str">
        <f>OBRA!R855</f>
        <v>NEXTIPAC</v>
      </c>
      <c r="O857" s="505" t="s">
        <v>6513</v>
      </c>
      <c r="P857" s="4">
        <f>OBRA!S855</f>
        <v>238287.78</v>
      </c>
      <c r="Q857" s="1045">
        <f t="shared" si="68"/>
        <v>205420.5</v>
      </c>
      <c r="R857" s="1762" t="s">
        <v>67</v>
      </c>
      <c r="S857" s="6">
        <f>OBRA!T855</f>
        <v>45470</v>
      </c>
      <c r="T857" s="1156">
        <f>OBRA!W855</f>
        <v>45469</v>
      </c>
      <c r="U857" s="5">
        <f>OBRA!U855</f>
        <v>45477</v>
      </c>
      <c r="V857" s="11">
        <f>OBRA!V855</f>
        <v>45483</v>
      </c>
      <c r="W857" s="1557">
        <v>0</v>
      </c>
      <c r="X857" s="1041">
        <f>OBRA!AT855+OBRA!AU855</f>
        <v>238287.74</v>
      </c>
      <c r="Y857" s="1040" t="s">
        <v>6374</v>
      </c>
      <c r="Z857" s="146" t="str">
        <f>OBRA!X855</f>
        <v>SERGIO CABRERA</v>
      </c>
      <c r="AA857" s="146" t="s">
        <v>5668</v>
      </c>
      <c r="AB857" s="1816" t="s">
        <v>4447</v>
      </c>
      <c r="AC857" s="146" t="s">
        <v>1922</v>
      </c>
      <c r="AD857" s="148" t="s">
        <v>6573</v>
      </c>
      <c r="AE857" s="184" t="str">
        <f>OBRA!Y855</f>
        <v>C. DANIEL RODRIGUEZ VALENZUELA</v>
      </c>
      <c r="AF857" s="19">
        <v>132</v>
      </c>
      <c r="AG857" s="2" t="s">
        <v>1450</v>
      </c>
      <c r="AH857" s="607">
        <f t="shared" si="66"/>
        <v>1805.2101515151514</v>
      </c>
      <c r="AI857" s="2">
        <v>150</v>
      </c>
      <c r="AJ857" s="2">
        <v>150</v>
      </c>
      <c r="AK857" s="1991">
        <v>1</v>
      </c>
      <c r="AL857" s="1551">
        <v>20.278127000000001</v>
      </c>
      <c r="AM857" s="1552">
        <v>103.415932</v>
      </c>
      <c r="AN857" s="1349" t="s">
        <v>6544</v>
      </c>
      <c r="AO857" s="1349" t="s">
        <v>6544</v>
      </c>
      <c r="AP857" s="1349" t="s">
        <v>6544</v>
      </c>
      <c r="AQ857" s="496" t="s">
        <v>6544</v>
      </c>
      <c r="AR857" s="496" t="s">
        <v>6544</v>
      </c>
      <c r="AS857" s="697" t="s">
        <v>6544</v>
      </c>
      <c r="AT857" s="1853">
        <v>0</v>
      </c>
      <c r="AU857" s="1853">
        <v>0</v>
      </c>
      <c r="AV857" s="1853">
        <v>0</v>
      </c>
      <c r="AW857" s="1853">
        <v>0</v>
      </c>
      <c r="AX857" s="1853">
        <v>0</v>
      </c>
      <c r="AY857" s="1853">
        <v>0</v>
      </c>
      <c r="AZ857" s="1853">
        <v>0</v>
      </c>
      <c r="BA857" s="1853">
        <v>0</v>
      </c>
      <c r="BB857" s="514">
        <v>0</v>
      </c>
      <c r="BC857" s="514">
        <v>0</v>
      </c>
      <c r="BD857" s="514">
        <v>0</v>
      </c>
      <c r="BE857" s="514">
        <v>0</v>
      </c>
      <c r="BF857" s="514">
        <v>0</v>
      </c>
      <c r="BG857" s="514">
        <v>0</v>
      </c>
      <c r="BH857" s="514">
        <v>0</v>
      </c>
      <c r="BI857" s="33"/>
      <c r="BJ857" s="12"/>
    </row>
    <row r="858" spans="1:62" ht="111" hidden="1" customHeight="1">
      <c r="A858" s="16">
        <f>OBRA!K856</f>
        <v>2024</v>
      </c>
      <c r="B858" s="781" t="s">
        <v>3947</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6814</v>
      </c>
      <c r="L858" s="3" t="s">
        <v>4755</v>
      </c>
      <c r="M858" s="3" t="s">
        <v>6265</v>
      </c>
      <c r="N858" s="3" t="str">
        <f>OBRA!R856</f>
        <v>NEXTIPAC</v>
      </c>
      <c r="O858" s="505" t="s">
        <v>6513</v>
      </c>
      <c r="P858" s="4">
        <f>OBRA!S856</f>
        <v>974176.38</v>
      </c>
      <c r="Q858" s="1045">
        <f t="shared" si="68"/>
        <v>839807.22413793113</v>
      </c>
      <c r="R858" s="1762" t="s">
        <v>67</v>
      </c>
      <c r="S858" s="6">
        <f>OBRA!T856</f>
        <v>45470</v>
      </c>
      <c r="T858" s="1156">
        <f>OBRA!W856</f>
        <v>45469</v>
      </c>
      <c r="U858" s="5">
        <f>OBRA!U856</f>
        <v>45484</v>
      </c>
      <c r="V858" s="11">
        <f>OBRA!V856</f>
        <v>45497</v>
      </c>
      <c r="W858" s="1557">
        <v>0</v>
      </c>
      <c r="X858" s="1041">
        <f>OBRA!AT856+OBRA!AU856</f>
        <v>1270476.05</v>
      </c>
      <c r="Y858" s="1040" t="s">
        <v>6375</v>
      </c>
      <c r="Z858" s="146" t="str">
        <f>OBRA!X856</f>
        <v>SERGIO CABRERA</v>
      </c>
      <c r="AA858" s="146" t="s">
        <v>5668</v>
      </c>
      <c r="AB858" s="1816" t="s">
        <v>4447</v>
      </c>
      <c r="AC858" s="146" t="s">
        <v>1922</v>
      </c>
      <c r="AD858" s="148" t="s">
        <v>6573</v>
      </c>
      <c r="AE858" s="184" t="str">
        <f>OBRA!Y856</f>
        <v>C. DANIEL RODRIGUEZ VALENZUELA</v>
      </c>
      <c r="AF858" s="19">
        <v>1102.44</v>
      </c>
      <c r="AG858" s="2" t="s">
        <v>1548</v>
      </c>
      <c r="AH858" s="607">
        <f t="shared" si="66"/>
        <v>1152.4219458655346</v>
      </c>
      <c r="AI858" s="2">
        <v>150</v>
      </c>
      <c r="AJ858" s="2">
        <v>300</v>
      </c>
      <c r="AK858" s="1991">
        <v>1</v>
      </c>
      <c r="AL858" s="1551">
        <v>20.278127000000001</v>
      </c>
      <c r="AM858" s="1552">
        <v>103.415932</v>
      </c>
      <c r="AN858" s="1349" t="s">
        <v>6793</v>
      </c>
      <c r="AO858" s="1349" t="s">
        <v>6793</v>
      </c>
      <c r="AP858" s="1349" t="s">
        <v>6793</v>
      </c>
      <c r="AQ858" s="496" t="s">
        <v>6793</v>
      </c>
      <c r="AR858" s="496" t="s">
        <v>6793</v>
      </c>
      <c r="AS858" s="697" t="s">
        <v>6793</v>
      </c>
      <c r="AT858" s="1853">
        <v>0</v>
      </c>
      <c r="AU858" s="1853">
        <v>0</v>
      </c>
      <c r="AV858" s="1853">
        <v>0</v>
      </c>
      <c r="AW858" s="1853">
        <v>0</v>
      </c>
      <c r="AX858" s="1853">
        <v>0</v>
      </c>
      <c r="AY858" s="1853">
        <v>0</v>
      </c>
      <c r="AZ858" s="1853">
        <v>0</v>
      </c>
      <c r="BA858" s="1853">
        <v>0</v>
      </c>
      <c r="BB858" s="514">
        <v>0</v>
      </c>
      <c r="BC858" s="514">
        <v>0</v>
      </c>
      <c r="BD858" s="514">
        <v>0</v>
      </c>
      <c r="BE858" s="514">
        <v>0</v>
      </c>
      <c r="BF858" s="514">
        <v>0</v>
      </c>
      <c r="BG858" s="514">
        <v>0</v>
      </c>
      <c r="BH858" s="514">
        <v>0</v>
      </c>
      <c r="BI858" s="33"/>
      <c r="BJ858" s="12"/>
    </row>
    <row r="859" spans="1:62" ht="109.5" hidden="1" customHeight="1">
      <c r="A859" s="16">
        <f>OBRA!K857</f>
        <v>2024</v>
      </c>
      <c r="B859" s="781" t="s">
        <v>3947</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6820</v>
      </c>
      <c r="L859" s="3" t="s">
        <v>4754</v>
      </c>
      <c r="M859" s="3" t="s">
        <v>6034</v>
      </c>
      <c r="N859" s="3" t="str">
        <f>OBRA!R857</f>
        <v>SAN PEDRO TESISTÁN</v>
      </c>
      <c r="O859" s="505" t="s">
        <v>6513</v>
      </c>
      <c r="P859" s="4">
        <f>OBRA!S857</f>
        <v>375226.36</v>
      </c>
      <c r="Q859" s="1045">
        <f t="shared" si="68"/>
        <v>323471</v>
      </c>
      <c r="R859" s="1762" t="s">
        <v>67</v>
      </c>
      <c r="S859" s="6">
        <f>OBRA!T857</f>
        <v>45485</v>
      </c>
      <c r="T859" s="1156">
        <f>OBRA!W857</f>
        <v>45484</v>
      </c>
      <c r="U859" s="5">
        <f>OBRA!U857</f>
        <v>45495</v>
      </c>
      <c r="V859" s="11">
        <f>OBRA!V857</f>
        <v>45513</v>
      </c>
      <c r="W859" s="1557">
        <v>112567.9</v>
      </c>
      <c r="X859" s="1041">
        <f>OBRA!AT857+OBRA!AU857</f>
        <v>370354.35</v>
      </c>
      <c r="Y859" s="1040" t="s">
        <v>6545</v>
      </c>
      <c r="Z859" s="146" t="str">
        <f>OBRA!X857</f>
        <v>ING. MARCO ANTONIO PAREDES RODRÍGUEZ</v>
      </c>
      <c r="AA859" s="146" t="s">
        <v>5668</v>
      </c>
      <c r="AB859" s="1816" t="s">
        <v>3745</v>
      </c>
      <c r="AC859" s="146" t="s">
        <v>4295</v>
      </c>
      <c r="AD859" s="148" t="s">
        <v>6571</v>
      </c>
      <c r="AE859" s="184" t="str">
        <f>OBRA!Y857</f>
        <v>ING. LUIS RIGOBERTO OLMEDO NAVARRO</v>
      </c>
      <c r="AF859" s="19">
        <v>1</v>
      </c>
      <c r="AG859" s="2" t="s">
        <v>1573</v>
      </c>
      <c r="AH859" s="607">
        <f t="shared" si="66"/>
        <v>370354.35</v>
      </c>
      <c r="AI859" s="2">
        <v>1400</v>
      </c>
      <c r="AJ859" s="2">
        <v>1400</v>
      </c>
      <c r="AK859" s="1991">
        <v>1</v>
      </c>
      <c r="AL859" s="1551">
        <v>20.224596999999999</v>
      </c>
      <c r="AM859" s="1552">
        <v>103.41150399999999</v>
      </c>
      <c r="AN859" s="1349" t="s">
        <v>6546</v>
      </c>
      <c r="AO859" s="1261"/>
      <c r="AP859" s="1349" t="s">
        <v>6546</v>
      </c>
      <c r="AQ859" s="511"/>
      <c r="AR859" s="511"/>
      <c r="AS859" s="512"/>
      <c r="AT859" s="1853">
        <v>0</v>
      </c>
      <c r="AU859" s="1853">
        <v>0</v>
      </c>
      <c r="AV859" s="1853">
        <v>0</v>
      </c>
      <c r="AW859" s="1853">
        <v>0</v>
      </c>
      <c r="AX859" s="1853">
        <v>0</v>
      </c>
      <c r="AY859" s="1853">
        <v>0</v>
      </c>
      <c r="AZ859" s="1853">
        <v>0</v>
      </c>
      <c r="BA859" s="1853">
        <v>0</v>
      </c>
      <c r="BB859" s="514">
        <v>0</v>
      </c>
      <c r="BC859" s="514">
        <v>0</v>
      </c>
      <c r="BD859" s="514">
        <v>0</v>
      </c>
      <c r="BE859" s="514">
        <v>0</v>
      </c>
      <c r="BF859" s="514">
        <v>0</v>
      </c>
      <c r="BG859" s="514">
        <v>0</v>
      </c>
      <c r="BH859" s="514">
        <v>0</v>
      </c>
      <c r="BI859" s="33"/>
      <c r="BJ859" s="12"/>
    </row>
    <row r="860" spans="1:62" ht="145.5" hidden="1" customHeight="1">
      <c r="A860" s="16">
        <f>OBRA!K858</f>
        <v>2024</v>
      </c>
      <c r="B860" s="781" t="s">
        <v>3947</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6821</v>
      </c>
      <c r="L860" s="3" t="s">
        <v>4754</v>
      </c>
      <c r="M860" s="3" t="s">
        <v>6034</v>
      </c>
      <c r="N860" s="3" t="str">
        <f>OBRA!R858</f>
        <v>SAN PEDRO TESISTÁN</v>
      </c>
      <c r="O860" s="505" t="s">
        <v>6513</v>
      </c>
      <c r="P860" s="4">
        <f>OBRA!S858</f>
        <v>932099.44</v>
      </c>
      <c r="Q860" s="1045">
        <f t="shared" si="68"/>
        <v>803534</v>
      </c>
      <c r="R860" s="1762" t="s">
        <v>67</v>
      </c>
      <c r="S860" s="6">
        <f>OBRA!T858</f>
        <v>45490</v>
      </c>
      <c r="T860" s="1156">
        <f>OBRA!W858</f>
        <v>45489</v>
      </c>
      <c r="U860" s="5">
        <f>OBRA!U858</f>
        <v>45497</v>
      </c>
      <c r="V860" s="11">
        <f>OBRA!V858</f>
        <v>45506</v>
      </c>
      <c r="W860" s="1557">
        <v>279629.83</v>
      </c>
      <c r="X860" s="1041">
        <f>OBRA!AT858+OBRA!AU858</f>
        <v>932099.44</v>
      </c>
      <c r="Y860" s="1040" t="s">
        <v>6369</v>
      </c>
      <c r="Z860" s="146" t="str">
        <f>OBRA!X858</f>
        <v>SOLEC ENERGY, S.A. DE C.V.</v>
      </c>
      <c r="AA860" s="146" t="s">
        <v>5669</v>
      </c>
      <c r="AB860" s="148" t="s">
        <v>4551</v>
      </c>
      <c r="AC860" s="146" t="s">
        <v>4552</v>
      </c>
      <c r="AD860" s="1366" t="s">
        <v>6570</v>
      </c>
      <c r="AE860" s="184" t="str">
        <f>OBRA!Y858</f>
        <v>ING. LUIS RIGOBERTO OLMEDO NAVARRO</v>
      </c>
      <c r="AF860" s="19">
        <v>1</v>
      </c>
      <c r="AG860" s="2" t="s">
        <v>1573</v>
      </c>
      <c r="AH860" s="607">
        <f t="shared" si="66"/>
        <v>932099.44</v>
      </c>
      <c r="AI860" s="2">
        <v>1400</v>
      </c>
      <c r="AJ860" s="2">
        <v>1400</v>
      </c>
      <c r="AK860" s="1991">
        <v>1</v>
      </c>
      <c r="AL860" s="1551">
        <v>20.224596999999999</v>
      </c>
      <c r="AM860" s="1552">
        <v>103.41150399999999</v>
      </c>
      <c r="AN860" s="1349" t="s">
        <v>6547</v>
      </c>
      <c r="AO860" s="1349" t="s">
        <v>6547</v>
      </c>
      <c r="AP860" s="1349" t="s">
        <v>6547</v>
      </c>
      <c r="AQ860" s="511"/>
      <c r="AR860" s="496" t="s">
        <v>6547</v>
      </c>
      <c r="AS860" s="697" t="s">
        <v>6547</v>
      </c>
      <c r="AT860" s="1853">
        <v>0</v>
      </c>
      <c r="AU860" s="1853">
        <v>0</v>
      </c>
      <c r="AV860" s="1853">
        <v>0</v>
      </c>
      <c r="AW860" s="1853">
        <v>0</v>
      </c>
      <c r="AX860" s="1853">
        <v>0</v>
      </c>
      <c r="AY860" s="1853">
        <v>0</v>
      </c>
      <c r="AZ860" s="1853">
        <v>0</v>
      </c>
      <c r="BA860" s="1853">
        <v>0</v>
      </c>
      <c r="BB860" s="514">
        <v>0</v>
      </c>
      <c r="BC860" s="514">
        <v>0</v>
      </c>
      <c r="BD860" s="514">
        <v>0</v>
      </c>
      <c r="BE860" s="514">
        <v>0</v>
      </c>
      <c r="BF860" s="514">
        <v>0</v>
      </c>
      <c r="BG860" s="514">
        <v>0</v>
      </c>
      <c r="BH860" s="514">
        <v>0</v>
      </c>
      <c r="BI860" s="33"/>
      <c r="BJ860" s="12"/>
    </row>
    <row r="861" spans="1:62" ht="70.5" hidden="1" customHeight="1">
      <c r="A861" s="16">
        <f>OBRA!K859</f>
        <v>2024</v>
      </c>
      <c r="B861" s="781" t="s">
        <v>3947</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6833</v>
      </c>
      <c r="L861" s="3" t="s">
        <v>4748</v>
      </c>
      <c r="M861" s="3" t="s">
        <v>2657</v>
      </c>
      <c r="N861" s="3" t="str">
        <f>OBRA!R859</f>
        <v>CABECERA MUNICIPAL</v>
      </c>
      <c r="O861" s="505" t="s">
        <v>6513</v>
      </c>
      <c r="P861" s="4">
        <v>759205.81</v>
      </c>
      <c r="Q861" s="1045">
        <f t="shared" si="68"/>
        <v>654487.76724137936</v>
      </c>
      <c r="R861" s="1762" t="s">
        <v>67</v>
      </c>
      <c r="S861" s="6">
        <f>OBRA!T859</f>
        <v>45497</v>
      </c>
      <c r="T861" s="1156">
        <f>OBRA!W859</f>
        <v>45496</v>
      </c>
      <c r="U861" s="5">
        <f>OBRA!U859</f>
        <v>45502</v>
      </c>
      <c r="V861" s="11">
        <f>OBRA!V859</f>
        <v>45535</v>
      </c>
      <c r="W861" s="1557">
        <v>0</v>
      </c>
      <c r="X861" s="1041">
        <f>OBRA!AT859+OBRA!AU859</f>
        <v>763292.06</v>
      </c>
      <c r="Y861" s="1040" t="s">
        <v>6357</v>
      </c>
      <c r="Z861" s="1928" t="str">
        <f>OBRA!X859</f>
        <v>CONSTRUCTORA ELITE Y MOVIMIENTOS DE TIERRAS, S.A. DE C.V.</v>
      </c>
      <c r="AA861" s="146" t="s">
        <v>5669</v>
      </c>
      <c r="AB861" s="148" t="s">
        <v>6548</v>
      </c>
      <c r="AC861" s="146" t="s">
        <v>6538</v>
      </c>
      <c r="AD861" s="148" t="s">
        <v>6539</v>
      </c>
      <c r="AE861" s="184" t="str">
        <f>OBRA!Y859</f>
        <v>ING. LUIS RIGOBERTO OLMEDO NAVARRO</v>
      </c>
      <c r="AF861" s="19">
        <v>540.6</v>
      </c>
      <c r="AG861" s="2" t="s">
        <v>1548</v>
      </c>
      <c r="AH861" s="607">
        <f t="shared" si="66"/>
        <v>1411.9349981502035</v>
      </c>
      <c r="AI861" s="2" t="s">
        <v>67</v>
      </c>
      <c r="AJ861" s="2">
        <v>10000</v>
      </c>
      <c r="AK861" s="1991">
        <v>1</v>
      </c>
      <c r="AL861" s="1551">
        <v>20.294478999999999</v>
      </c>
      <c r="AM861" s="1552">
        <v>103.43019200000001</v>
      </c>
      <c r="AN861" s="1349" t="s">
        <v>6550</v>
      </c>
      <c r="AO861" s="1349" t="s">
        <v>6550</v>
      </c>
      <c r="AP861" s="1349" t="s">
        <v>6550</v>
      </c>
      <c r="AQ861" s="496" t="s">
        <v>6550</v>
      </c>
      <c r="AR861" s="891"/>
      <c r="AS861" s="697" t="s">
        <v>6550</v>
      </c>
      <c r="AT861" s="1853">
        <v>0</v>
      </c>
      <c r="AU861" s="1853">
        <v>0</v>
      </c>
      <c r="AV861" s="1853">
        <v>0</v>
      </c>
      <c r="AW861" s="1853">
        <v>0</v>
      </c>
      <c r="AX861" s="1853">
        <v>0</v>
      </c>
      <c r="AY861" s="1853">
        <v>0</v>
      </c>
      <c r="AZ861" s="1853">
        <v>0</v>
      </c>
      <c r="BA861" s="1853">
        <v>0</v>
      </c>
      <c r="BB861" s="514">
        <v>0</v>
      </c>
      <c r="BC861" s="514">
        <v>0</v>
      </c>
      <c r="BD861" s="514">
        <v>0</v>
      </c>
      <c r="BE861" s="514">
        <v>0</v>
      </c>
      <c r="BF861" s="514">
        <v>0</v>
      </c>
      <c r="BG861" s="514">
        <v>0</v>
      </c>
      <c r="BH861" s="514">
        <v>0</v>
      </c>
      <c r="BI861" s="33"/>
      <c r="BJ861" s="12"/>
    </row>
    <row r="862" spans="1:62" ht="111.75" hidden="1" customHeight="1">
      <c r="A862" s="16">
        <f>OBRA!K860</f>
        <v>2024</v>
      </c>
      <c r="B862" s="781" t="s">
        <v>3947</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6838</v>
      </c>
      <c r="L862" s="3" t="s">
        <v>5345</v>
      </c>
      <c r="M862" s="3" t="s">
        <v>5345</v>
      </c>
      <c r="N862" s="3" t="str">
        <f>OBRA!R860</f>
        <v>CHANTEPEC</v>
      </c>
      <c r="O862" s="505" t="s">
        <v>6513</v>
      </c>
      <c r="P862" s="4">
        <f>OBRA!S860</f>
        <v>779373.61</v>
      </c>
      <c r="Q862" s="1045">
        <f t="shared" si="68"/>
        <v>671873.80172413797</v>
      </c>
      <c r="R862" s="1762" t="s">
        <v>67</v>
      </c>
      <c r="S862" s="6">
        <f>OBRA!T860</f>
        <v>45507</v>
      </c>
      <c r="T862" s="1156">
        <f>OBRA!W860</f>
        <v>45506</v>
      </c>
      <c r="U862" s="5">
        <f>OBRA!U860</f>
        <v>45510</v>
      </c>
      <c r="V862" s="11">
        <f>OBRA!V860</f>
        <v>45527</v>
      </c>
      <c r="W862" s="1557">
        <v>0</v>
      </c>
      <c r="X862" s="1041">
        <f>OBRA!AT860+OBRA!AU860</f>
        <v>779373.61</v>
      </c>
      <c r="Y862" s="1040" t="s">
        <v>6359</v>
      </c>
      <c r="Z862" s="146" t="str">
        <f>OBRA!X860</f>
        <v>SOLEC ENERGY, S.A. DE C.V.</v>
      </c>
      <c r="AA862" s="146" t="s">
        <v>5669</v>
      </c>
      <c r="AB862" s="148" t="s">
        <v>4551</v>
      </c>
      <c r="AC862" s="146" t="s">
        <v>4552</v>
      </c>
      <c r="AD862" s="1366" t="s">
        <v>6570</v>
      </c>
      <c r="AE862" s="554" t="str">
        <f>OBRA!Y860</f>
        <v>C. DANIEL RODRIGUEZ VALENZUELA</v>
      </c>
      <c r="AF862" s="19">
        <v>1</v>
      </c>
      <c r="AG862" s="2" t="s">
        <v>1573</v>
      </c>
      <c r="AH862" s="607">
        <f t="shared" si="66"/>
        <v>779373.61</v>
      </c>
      <c r="AI862" s="2">
        <v>700</v>
      </c>
      <c r="AJ862" s="2">
        <v>2500</v>
      </c>
      <c r="AK862" s="1991">
        <v>1</v>
      </c>
      <c r="AL862" s="1551">
        <v>20.292967000000001</v>
      </c>
      <c r="AM862" s="1552">
        <v>103.389911</v>
      </c>
      <c r="AN862" s="1349" t="s">
        <v>6794</v>
      </c>
      <c r="AO862" s="1349" t="s">
        <v>6794</v>
      </c>
      <c r="AP862" s="1349" t="s">
        <v>6794</v>
      </c>
      <c r="AQ862" s="511"/>
      <c r="AR862" s="496" t="s">
        <v>6794</v>
      </c>
      <c r="AS862" s="697" t="s">
        <v>6794</v>
      </c>
      <c r="AT862" s="1853">
        <v>0</v>
      </c>
      <c r="AU862" s="1853">
        <v>0</v>
      </c>
      <c r="AV862" s="1853">
        <v>0</v>
      </c>
      <c r="AW862" s="1853">
        <v>0</v>
      </c>
      <c r="AX862" s="1853">
        <v>0</v>
      </c>
      <c r="AY862" s="1853">
        <v>0</v>
      </c>
      <c r="AZ862" s="1853">
        <v>0</v>
      </c>
      <c r="BA862" s="1853">
        <v>0</v>
      </c>
      <c r="BB862" s="514">
        <v>0</v>
      </c>
      <c r="BC862" s="514">
        <v>0</v>
      </c>
      <c r="BD862" s="514">
        <v>0</v>
      </c>
      <c r="BE862" s="514">
        <v>0</v>
      </c>
      <c r="BF862" s="514">
        <v>0</v>
      </c>
      <c r="BG862" s="514">
        <v>0</v>
      </c>
      <c r="BH862" s="514">
        <v>0</v>
      </c>
      <c r="BI862" s="33"/>
      <c r="BJ862" s="12"/>
    </row>
    <row r="863" spans="1:62" ht="154.5" hidden="1" customHeight="1">
      <c r="A863" s="16">
        <f>OBRA!K861</f>
        <v>2024</v>
      </c>
      <c r="B863" s="781" t="s">
        <v>3947</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6822</v>
      </c>
      <c r="L863" s="3" t="s">
        <v>4754</v>
      </c>
      <c r="M863" s="3" t="s">
        <v>6452</v>
      </c>
      <c r="N863" s="3" t="str">
        <f>OBRA!R861</f>
        <v>NEXTIPAC</v>
      </c>
      <c r="O863" s="505" t="s">
        <v>6513</v>
      </c>
      <c r="P863" s="4">
        <f>OBRA!S861</f>
        <v>1025125.64</v>
      </c>
      <c r="Q863" s="1045">
        <f t="shared" si="68"/>
        <v>883729.00000000012</v>
      </c>
      <c r="R863" s="1762" t="s">
        <v>67</v>
      </c>
      <c r="S863" s="6">
        <f>OBRA!T861</f>
        <v>0</v>
      </c>
      <c r="T863" s="1156">
        <f>OBRA!W861</f>
        <v>45511</v>
      </c>
      <c r="U863" s="5">
        <f>OBRA!U861</f>
        <v>45516</v>
      </c>
      <c r="V863" s="11">
        <f>OBRA!V861</f>
        <v>45526</v>
      </c>
      <c r="W863" s="1557">
        <v>307537.69</v>
      </c>
      <c r="X863" s="1041">
        <f>OBRA!AT861+OBRA!AU861</f>
        <v>1064619</v>
      </c>
      <c r="Y863" s="1040" t="s">
        <v>6360</v>
      </c>
      <c r="Z863" s="146" t="str">
        <f>OBRA!X861</f>
        <v>ING. MARCO ANTONIO PAREDES RODRÍGUEZ</v>
      </c>
      <c r="AA863" s="146" t="s">
        <v>5668</v>
      </c>
      <c r="AB863" s="1816" t="s">
        <v>3745</v>
      </c>
      <c r="AC863" s="146" t="s">
        <v>4295</v>
      </c>
      <c r="AD863" s="148" t="s">
        <v>6571</v>
      </c>
      <c r="AE863" s="184" t="str">
        <f>OBRA!Y861</f>
        <v>ING. LUIS RIGOBERTO OLMEDO NAVARRO</v>
      </c>
      <c r="AF863" s="19">
        <v>1</v>
      </c>
      <c r="AG863" s="2" t="s">
        <v>1573</v>
      </c>
      <c r="AH863" s="607">
        <f t="shared" si="66"/>
        <v>1064619</v>
      </c>
      <c r="AI863" s="2">
        <v>5500</v>
      </c>
      <c r="AJ863" s="2">
        <v>22000</v>
      </c>
      <c r="AK863" s="1991">
        <v>1</v>
      </c>
      <c r="AL863" s="1621">
        <v>20.286714</v>
      </c>
      <c r="AM863" s="1992">
        <v>103.42418499999999</v>
      </c>
      <c r="AN863" s="1756" t="s">
        <v>6795</v>
      </c>
      <c r="AO863" s="1349" t="s">
        <v>6795</v>
      </c>
      <c r="AP863" s="1349" t="s">
        <v>6795</v>
      </c>
      <c r="AQ863" s="496" t="s">
        <v>6795</v>
      </c>
      <c r="AR863" s="891"/>
      <c r="AS863" s="512"/>
      <c r="AT863" s="1853">
        <v>0</v>
      </c>
      <c r="AU863" s="1853">
        <v>0</v>
      </c>
      <c r="AV863" s="1853">
        <v>0</v>
      </c>
      <c r="AW863" s="1853">
        <v>0</v>
      </c>
      <c r="AX863" s="1853">
        <v>0</v>
      </c>
      <c r="AY863" s="1853">
        <v>0</v>
      </c>
      <c r="AZ863" s="1853">
        <v>0</v>
      </c>
      <c r="BA863" s="1853">
        <v>0</v>
      </c>
      <c r="BB863" s="514">
        <v>0</v>
      </c>
      <c r="BC863" s="514">
        <v>0</v>
      </c>
      <c r="BD863" s="514">
        <v>0</v>
      </c>
      <c r="BE863" s="514">
        <v>0</v>
      </c>
      <c r="BF863" s="514">
        <v>0</v>
      </c>
      <c r="BG863" s="514">
        <v>0</v>
      </c>
      <c r="BH863" s="514">
        <v>0</v>
      </c>
      <c r="BI863" s="33"/>
      <c r="BJ863" s="12"/>
    </row>
    <row r="864" spans="1:62" ht="80.25" hidden="1" customHeight="1">
      <c r="A864" s="16">
        <f>OBRA!K862</f>
        <v>2024</v>
      </c>
      <c r="B864" s="781" t="s">
        <v>3947</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6835</v>
      </c>
      <c r="L864" s="3" t="s">
        <v>6242</v>
      </c>
      <c r="M864" s="3" t="s">
        <v>6453</v>
      </c>
      <c r="N864" s="3" t="str">
        <f>OBRA!R862</f>
        <v>CABECERA MUNICIPAL</v>
      </c>
      <c r="O864" s="505" t="s">
        <v>6513</v>
      </c>
      <c r="P864" s="4">
        <f>OBRA!S862</f>
        <v>347680.34</v>
      </c>
      <c r="Q864" s="1045">
        <f t="shared" si="68"/>
        <v>299724.43103448278</v>
      </c>
      <c r="R864" s="1762" t="s">
        <v>67</v>
      </c>
      <c r="S864" s="6">
        <f>OBRA!T862</f>
        <v>45531</v>
      </c>
      <c r="T864" s="1156">
        <f>OBRA!W862</f>
        <v>45530</v>
      </c>
      <c r="U864" s="5">
        <f>OBRA!U862</f>
        <v>45535</v>
      </c>
      <c r="V864" s="11">
        <f>OBRA!V862</f>
        <v>45551</v>
      </c>
      <c r="W864" s="1557">
        <v>104304.02</v>
      </c>
      <c r="X864" s="1041">
        <f>OBRA!AT862+OBRA!AU862</f>
        <v>347680.34</v>
      </c>
      <c r="Y864" s="1040" t="s">
        <v>6356</v>
      </c>
      <c r="Z864" s="146" t="str">
        <f>OBRA!X862</f>
        <v>C. OSCAR HERNÁNDEZ HERNÁNDEZ</v>
      </c>
      <c r="AA864" s="146" t="s">
        <v>5668</v>
      </c>
      <c r="AB864" s="148" t="str">
        <f>Z864</f>
        <v>C. OSCAR HERNÁNDEZ HERNÁNDEZ</v>
      </c>
      <c r="AC864" s="146" t="s">
        <v>6536</v>
      </c>
      <c r="AD864" s="148" t="s">
        <v>6537</v>
      </c>
      <c r="AE864" s="554" t="str">
        <f>OBRA!Y862</f>
        <v>ARQ. JAIME CONDE GOMEZ</v>
      </c>
      <c r="AF864" s="19">
        <v>4618</v>
      </c>
      <c r="AG864" s="2" t="s">
        <v>1548</v>
      </c>
      <c r="AH864" s="607">
        <f t="shared" ref="AH864:AH873" si="69">X864/AF864</f>
        <v>75.288077089649207</v>
      </c>
      <c r="AI864" s="2" t="s">
        <v>67</v>
      </c>
      <c r="AJ864" s="2">
        <v>10000</v>
      </c>
      <c r="AK864" s="1991">
        <v>1</v>
      </c>
      <c r="AL864" s="1551">
        <v>20.283180999999999</v>
      </c>
      <c r="AM864" s="1552">
        <v>103.430739</v>
      </c>
      <c r="AN864" s="1349" t="s">
        <v>6796</v>
      </c>
      <c r="AO864" s="1349" t="s">
        <v>6796</v>
      </c>
      <c r="AP864" s="1349" t="s">
        <v>6796</v>
      </c>
      <c r="AQ864" s="496" t="s">
        <v>6796</v>
      </c>
      <c r="AR864" s="496" t="s">
        <v>6796</v>
      </c>
      <c r="AS864" s="697" t="s">
        <v>6796</v>
      </c>
      <c r="AT864" s="1853">
        <v>0</v>
      </c>
      <c r="AU864" s="1853">
        <v>0</v>
      </c>
      <c r="AV864" s="1853">
        <v>0</v>
      </c>
      <c r="AW864" s="1853">
        <v>0</v>
      </c>
      <c r="AX864" s="1853">
        <v>0</v>
      </c>
      <c r="AY864" s="1853">
        <v>0</v>
      </c>
      <c r="AZ864" s="1853">
        <v>0</v>
      </c>
      <c r="BA864" s="1853">
        <v>0</v>
      </c>
      <c r="BB864" s="514">
        <v>0</v>
      </c>
      <c r="BC864" s="514">
        <v>0</v>
      </c>
      <c r="BD864" s="514">
        <v>0</v>
      </c>
      <c r="BE864" s="514">
        <v>0</v>
      </c>
      <c r="BF864" s="514">
        <v>0</v>
      </c>
      <c r="BG864" s="514">
        <v>0</v>
      </c>
      <c r="BH864" s="514">
        <v>0</v>
      </c>
      <c r="BI864" s="33"/>
      <c r="BJ864" s="12"/>
    </row>
    <row r="865" spans="1:62" ht="66.75" hidden="1" customHeight="1">
      <c r="A865" s="16">
        <f>OBRA!K863</f>
        <v>2024</v>
      </c>
      <c r="B865" s="781" t="s">
        <v>3947</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6839</v>
      </c>
      <c r="L865" s="3" t="s">
        <v>4809</v>
      </c>
      <c r="M865" s="3" t="s">
        <v>6454</v>
      </c>
      <c r="N865" s="3" t="str">
        <f>OBRA!R863</f>
        <v>SAN JUAN COSALÁ</v>
      </c>
      <c r="O865" s="505" t="s">
        <v>6513</v>
      </c>
      <c r="P865" s="4">
        <f>OBRA!S863</f>
        <v>215269.78</v>
      </c>
      <c r="Q865" s="1045">
        <f t="shared" si="68"/>
        <v>185577.39655172414</v>
      </c>
      <c r="R865" s="1762" t="s">
        <v>67</v>
      </c>
      <c r="S865" s="6">
        <f>OBRA!T863</f>
        <v>45532</v>
      </c>
      <c r="T865" s="1156">
        <f>OBRA!W863</f>
        <v>45531</v>
      </c>
      <c r="U865" s="5">
        <f>OBRA!U863</f>
        <v>45534</v>
      </c>
      <c r="V865" s="11">
        <f>OBRA!V863</f>
        <v>45548</v>
      </c>
      <c r="W865" s="1557">
        <v>0</v>
      </c>
      <c r="X865" s="1041">
        <f>OBRA!AT863+OBRA!AU863</f>
        <v>215269.78</v>
      </c>
      <c r="Y865" s="1040" t="s">
        <v>6368</v>
      </c>
      <c r="Z865" s="146" t="str">
        <f>OBRA!X863</f>
        <v>ALSERCON S.A. DE C.V.</v>
      </c>
      <c r="AA865" s="146" t="s">
        <v>5669</v>
      </c>
      <c r="AB865" s="148" t="s">
        <v>2164</v>
      </c>
      <c r="AC865" s="146" t="s">
        <v>2165</v>
      </c>
      <c r="AD865" s="148" t="s">
        <v>6572</v>
      </c>
      <c r="AE865" s="554" t="str">
        <f>OBRA!Y863</f>
        <v>ARQ. JAIME CONDE GOMEZ</v>
      </c>
      <c r="AF865" s="19">
        <v>512</v>
      </c>
      <c r="AG865" s="2" t="s">
        <v>1548</v>
      </c>
      <c r="AH865" s="607">
        <f t="shared" si="69"/>
        <v>420.4487890625</v>
      </c>
      <c r="AI865" s="2">
        <v>500</v>
      </c>
      <c r="AJ865" s="2">
        <v>2000</v>
      </c>
      <c r="AK865" s="1991">
        <v>1</v>
      </c>
      <c r="AL865" s="1551">
        <v>20.283975999999999</v>
      </c>
      <c r="AM865" s="1552">
        <v>103.338094</v>
      </c>
      <c r="AN865" s="1349" t="s">
        <v>6797</v>
      </c>
      <c r="AO865" s="1349" t="s">
        <v>6797</v>
      </c>
      <c r="AP865" s="1349" t="s">
        <v>6797</v>
      </c>
      <c r="AQ865" s="496" t="s">
        <v>6797</v>
      </c>
      <c r="AR865" s="496" t="s">
        <v>6797</v>
      </c>
      <c r="AS865" s="697" t="s">
        <v>6797</v>
      </c>
      <c r="AT865" s="1853">
        <v>0</v>
      </c>
      <c r="AU865" s="1853">
        <v>0</v>
      </c>
      <c r="AV865" s="1853">
        <v>0</v>
      </c>
      <c r="AW865" s="1853">
        <v>0</v>
      </c>
      <c r="AX865" s="1853">
        <v>0</v>
      </c>
      <c r="AY865" s="1853">
        <v>0</v>
      </c>
      <c r="AZ865" s="1853">
        <v>0</v>
      </c>
      <c r="BA865" s="1853">
        <v>0</v>
      </c>
      <c r="BB865" s="514">
        <v>0</v>
      </c>
      <c r="BC865" s="514">
        <v>0</v>
      </c>
      <c r="BD865" s="514">
        <v>0</v>
      </c>
      <c r="BE865" s="514">
        <v>0</v>
      </c>
      <c r="BF865" s="514">
        <v>0</v>
      </c>
      <c r="BG865" s="514">
        <v>0</v>
      </c>
      <c r="BH865" s="514">
        <v>0</v>
      </c>
      <c r="BI865" s="33"/>
      <c r="BJ865" s="12"/>
    </row>
    <row r="866" spans="1:62" ht="140.25" hidden="1" customHeight="1">
      <c r="A866" s="16">
        <f>OBRA!K864</f>
        <v>2024</v>
      </c>
      <c r="B866" s="781" t="s">
        <v>3947</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6840</v>
      </c>
      <c r="L866" s="3" t="s">
        <v>6243</v>
      </c>
      <c r="M866" s="3" t="s">
        <v>6455</v>
      </c>
      <c r="N866" s="3" t="str">
        <f>OBRA!R864</f>
        <v>CHANTEPEC</v>
      </c>
      <c r="O866" s="505" t="s">
        <v>6514</v>
      </c>
      <c r="P866" s="4">
        <f>OBRA!S864</f>
        <v>672254.43</v>
      </c>
      <c r="Q866" s="1045">
        <f t="shared" si="68"/>
        <v>579529.6810344829</v>
      </c>
      <c r="R866" s="1762" t="s">
        <v>67</v>
      </c>
      <c r="S866" s="6">
        <f>OBRA!T864</f>
        <v>45532</v>
      </c>
      <c r="T866" s="1156">
        <f>OBRA!W864</f>
        <v>45531</v>
      </c>
      <c r="U866" s="5">
        <f>OBRA!U864</f>
        <v>45533</v>
      </c>
      <c r="V866" s="11">
        <f>OBRA!V864</f>
        <v>45562</v>
      </c>
      <c r="W866" s="1557">
        <v>201676.33</v>
      </c>
      <c r="X866" s="1041">
        <f>OBRA!AT864+OBRA!AU864</f>
        <v>672254.42</v>
      </c>
      <c r="Y866" s="1040" t="s">
        <v>6369</v>
      </c>
      <c r="Z866" s="146" t="str">
        <f>OBRA!X864</f>
        <v>SOLEC ENERGY, S.A. DE C.V.</v>
      </c>
      <c r="AA866" s="146" t="s">
        <v>5669</v>
      </c>
      <c r="AB866" s="148" t="s">
        <v>4551</v>
      </c>
      <c r="AC866" s="146" t="s">
        <v>4552</v>
      </c>
      <c r="AD866" s="1366" t="s">
        <v>6570</v>
      </c>
      <c r="AE866" s="1929" t="str">
        <f>OBRA!Y864</f>
        <v>ING. LUIS RIGOBERTO OLMEDO NAVARRO</v>
      </c>
      <c r="AF866" s="19">
        <v>32</v>
      </c>
      <c r="AG866" s="2" t="s">
        <v>1841</v>
      </c>
      <c r="AH866" s="607">
        <f t="shared" si="69"/>
        <v>21007.950625000001</v>
      </c>
      <c r="AI866" s="2">
        <v>300</v>
      </c>
      <c r="AJ866" s="2">
        <v>2000</v>
      </c>
      <c r="AK866" s="1991">
        <v>1</v>
      </c>
      <c r="AL866" s="1551">
        <v>20.290751</v>
      </c>
      <c r="AM866" s="1552">
        <v>103.394237</v>
      </c>
      <c r="AN866" s="1349" t="s">
        <v>6551</v>
      </c>
      <c r="AO866" s="1261"/>
      <c r="AP866" s="1349" t="s">
        <v>6551</v>
      </c>
      <c r="AQ866" s="496" t="s">
        <v>6551</v>
      </c>
      <c r="AR866" s="891"/>
      <c r="AS866" s="512"/>
      <c r="AT866" s="1853">
        <v>0</v>
      </c>
      <c r="AU866" s="1853">
        <v>0</v>
      </c>
      <c r="AV866" s="1853">
        <v>0</v>
      </c>
      <c r="AW866" s="1853">
        <v>0</v>
      </c>
      <c r="AX866" s="1853">
        <v>0</v>
      </c>
      <c r="AY866" s="1853">
        <v>0</v>
      </c>
      <c r="AZ866" s="1853">
        <v>0</v>
      </c>
      <c r="BA866" s="1853">
        <v>0</v>
      </c>
      <c r="BB866" s="514">
        <v>0</v>
      </c>
      <c r="BC866" s="514">
        <v>0</v>
      </c>
      <c r="BD866" s="514">
        <v>0</v>
      </c>
      <c r="BE866" s="514">
        <v>0</v>
      </c>
      <c r="BF866" s="514">
        <v>0</v>
      </c>
      <c r="BG866" s="514">
        <v>0</v>
      </c>
      <c r="BH866" s="514">
        <v>0</v>
      </c>
      <c r="BI866" s="33"/>
      <c r="BJ866" s="12"/>
    </row>
    <row r="867" spans="1:62" ht="15" hidden="1" customHeight="1">
      <c r="A867" s="16">
        <f>OBRA!K865</f>
        <v>2024</v>
      </c>
      <c r="B867" s="781" t="s">
        <v>3947</v>
      </c>
      <c r="C867" s="781">
        <f>OBRA!L865</f>
        <v>245032</v>
      </c>
      <c r="D867" s="24" t="s">
        <v>2313</v>
      </c>
      <c r="E867" s="2">
        <f>OBRA!N865</f>
        <v>0</v>
      </c>
      <c r="F867" s="512"/>
      <c r="G867" s="1718"/>
      <c r="H867" s="12" t="str">
        <f>OBRA!O865</f>
        <v>GMJ 032C- OP/2024</v>
      </c>
      <c r="I867" s="2" t="str">
        <f>OBRA!P865</f>
        <v>CANCELADA</v>
      </c>
      <c r="J867" s="3" t="str">
        <f>OBRA!Q865</f>
        <v>CANCELADA</v>
      </c>
      <c r="K867" s="544"/>
      <c r="L867" s="3" t="s">
        <v>67</v>
      </c>
      <c r="M867" s="544"/>
      <c r="N867" s="3">
        <f>OBRA!R865</f>
        <v>0</v>
      </c>
      <c r="O867" s="532"/>
      <c r="P867" s="4">
        <f>OBRA!S865</f>
        <v>0</v>
      </c>
      <c r="Q867" s="1045">
        <f t="shared" si="68"/>
        <v>0</v>
      </c>
      <c r="R867" s="1762"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9"/>
        <v>#DIV/0!</v>
      </c>
      <c r="AI867" s="511"/>
      <c r="AJ867" s="507"/>
      <c r="AK867" s="507"/>
      <c r="AL867" s="626"/>
      <c r="AM867" s="1546"/>
      <c r="AN867" s="565"/>
      <c r="AO867" s="565"/>
      <c r="AP867" s="565"/>
      <c r="AQ867" s="507"/>
      <c r="AR867" s="507"/>
      <c r="AS867" s="512"/>
      <c r="AT867" s="1852"/>
      <c r="AU867" s="1852"/>
      <c r="AV867" s="1852"/>
      <c r="AW867" s="1852"/>
      <c r="AX867" s="1852"/>
      <c r="AY867" s="1852"/>
      <c r="AZ867" s="1852"/>
      <c r="BA867" s="1852"/>
      <c r="BB867" s="507"/>
      <c r="BC867" s="507"/>
      <c r="BD867" s="507"/>
      <c r="BE867" s="507"/>
      <c r="BF867" s="507"/>
      <c r="BG867" s="507"/>
      <c r="BH867" s="507"/>
      <c r="BI867" s="33"/>
      <c r="BJ867" s="12"/>
    </row>
    <row r="868" spans="1:62" ht="48.75" hidden="1" customHeight="1">
      <c r="A868" s="16">
        <f>OBRA!K866</f>
        <v>2024</v>
      </c>
      <c r="B868" s="781" t="s">
        <v>3947</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6841</v>
      </c>
      <c r="L868" s="3" t="s">
        <v>6367</v>
      </c>
      <c r="M868" s="3" t="s">
        <v>2557</v>
      </c>
      <c r="N868" s="3" t="str">
        <f>OBRA!R866</f>
        <v>HUEJOTITÁN</v>
      </c>
      <c r="O868" s="505" t="s">
        <v>6514</v>
      </c>
      <c r="P868" s="4">
        <f>OBRA!S866</f>
        <v>299463.51</v>
      </c>
      <c r="Q868" s="1045">
        <f t="shared" si="68"/>
        <v>258158.19827586209</v>
      </c>
      <c r="R868" s="1762" t="s">
        <v>67</v>
      </c>
      <c r="S868" s="6">
        <f>OBRA!T866</f>
        <v>45532</v>
      </c>
      <c r="T868" s="1156">
        <f>OBRA!W866</f>
        <v>45531</v>
      </c>
      <c r="U868" s="5">
        <f>OBRA!U866</f>
        <v>45536</v>
      </c>
      <c r="V868" s="11">
        <f>OBRA!V866</f>
        <v>45540</v>
      </c>
      <c r="W868" s="1557">
        <v>0</v>
      </c>
      <c r="X868" s="1119">
        <f>OBRA!AT866+OBRA!AU866</f>
        <v>0</v>
      </c>
      <c r="Y868" s="1040" t="s">
        <v>6356</v>
      </c>
      <c r="Z868" s="146" t="str">
        <f>OBRA!X866</f>
        <v>SERGIO CABRERA</v>
      </c>
      <c r="AA868" s="146" t="s">
        <v>5668</v>
      </c>
      <c r="AB868" s="1816" t="s">
        <v>4447</v>
      </c>
      <c r="AC868" s="146" t="s">
        <v>1922</v>
      </c>
      <c r="AD868" s="148" t="s">
        <v>6573</v>
      </c>
      <c r="AE868" s="184" t="str">
        <f>OBRA!Y866</f>
        <v>IMELDA KARINA PÉREZ GONZÁLEZ</v>
      </c>
      <c r="AF868" s="19">
        <v>312</v>
      </c>
      <c r="AG868" s="2" t="s">
        <v>1450</v>
      </c>
      <c r="AH868" s="625">
        <f t="shared" si="69"/>
        <v>0</v>
      </c>
      <c r="AI868" s="2" t="s">
        <v>67</v>
      </c>
      <c r="AJ868" s="2">
        <v>1300</v>
      </c>
      <c r="AK868" s="1991">
        <v>1</v>
      </c>
      <c r="AL868" s="1551">
        <v>20.335771000000001</v>
      </c>
      <c r="AM868" s="1552">
        <v>103.509558</v>
      </c>
      <c r="AN868" s="1349" t="s">
        <v>6945</v>
      </c>
      <c r="AO868" s="1349" t="s">
        <v>6945</v>
      </c>
      <c r="AP868" s="1349" t="s">
        <v>6945</v>
      </c>
      <c r="AQ868" s="511"/>
      <c r="AR868" s="496" t="s">
        <v>6945</v>
      </c>
      <c r="AS868" s="697" t="s">
        <v>6945</v>
      </c>
      <c r="AT868" s="1853">
        <v>0</v>
      </c>
      <c r="AU868" s="1853">
        <v>0</v>
      </c>
      <c r="AV868" s="1853">
        <v>0</v>
      </c>
      <c r="AW868" s="1853">
        <v>0</v>
      </c>
      <c r="AX868" s="1853">
        <v>0</v>
      </c>
      <c r="AY868" s="1853">
        <v>0</v>
      </c>
      <c r="AZ868" s="1853">
        <v>0</v>
      </c>
      <c r="BA868" s="1853">
        <v>0</v>
      </c>
      <c r="BB868" s="514">
        <v>0</v>
      </c>
      <c r="BC868" s="514">
        <v>0</v>
      </c>
      <c r="BD868" s="514">
        <v>0</v>
      </c>
      <c r="BE868" s="514">
        <v>0</v>
      </c>
      <c r="BF868" s="514">
        <v>0</v>
      </c>
      <c r="BG868" s="514">
        <v>0</v>
      </c>
      <c r="BH868" s="514">
        <v>0</v>
      </c>
      <c r="BI868" s="33"/>
      <c r="BJ868" s="12"/>
    </row>
    <row r="869" spans="1:62" ht="90" hidden="1" customHeight="1">
      <c r="A869" s="16">
        <f>OBRA!K867</f>
        <v>2024</v>
      </c>
      <c r="B869" s="781" t="s">
        <v>3947</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6836</v>
      </c>
      <c r="L869" s="3" t="s">
        <v>6242</v>
      </c>
      <c r="M869" s="3" t="s">
        <v>3979</v>
      </c>
      <c r="N869" s="3" t="str">
        <f>OBRA!R867</f>
        <v>CABECERA MUNICIPAL</v>
      </c>
      <c r="O869" s="505" t="s">
        <v>6514</v>
      </c>
      <c r="P869" s="4">
        <f>OBRA!S867</f>
        <v>109760.7</v>
      </c>
      <c r="Q869" s="1045">
        <f t="shared" si="68"/>
        <v>94621.293103448275</v>
      </c>
      <c r="R869" s="1762" t="s">
        <v>67</v>
      </c>
      <c r="S869" s="6">
        <f>OBRA!T867</f>
        <v>45531</v>
      </c>
      <c r="T869" s="1156">
        <f>OBRA!W867</f>
        <v>45531</v>
      </c>
      <c r="U869" s="5">
        <f>OBRA!U867</f>
        <v>45537</v>
      </c>
      <c r="V869" s="11">
        <f>OBRA!V867</f>
        <v>45555</v>
      </c>
      <c r="W869" s="1557">
        <v>0</v>
      </c>
      <c r="X869" s="1041">
        <f>OBRA!AT867+OBRA!AU867</f>
        <v>109287.59</v>
      </c>
      <c r="Y869" s="1040" t="s">
        <v>6356</v>
      </c>
      <c r="Z869" s="146" t="str">
        <f>OBRA!X867</f>
        <v xml:space="preserve">DORIA &amp; SAMPIER CONSTRUCTORA, S.A. DE C.V. </v>
      </c>
      <c r="AA869" s="146" t="s">
        <v>5669</v>
      </c>
      <c r="AB869" s="1816" t="s">
        <v>5610</v>
      </c>
      <c r="AC869" s="146" t="s">
        <v>4404</v>
      </c>
      <c r="AD869" s="1366" t="s">
        <v>6574</v>
      </c>
      <c r="AE869" s="184" t="str">
        <f>OBRA!Y867</f>
        <v>ARQ. JAIME CONDE GOMEZ</v>
      </c>
      <c r="AF869" s="19">
        <v>1</v>
      </c>
      <c r="AG869" s="2" t="s">
        <v>1573</v>
      </c>
      <c r="AH869" s="607">
        <f t="shared" si="69"/>
        <v>109287.59</v>
      </c>
      <c r="AI869" s="2" t="s">
        <v>67</v>
      </c>
      <c r="AJ869" s="2">
        <v>10000</v>
      </c>
      <c r="AK869" s="1991">
        <v>1</v>
      </c>
      <c r="AL869" s="1551">
        <v>20.28547</v>
      </c>
      <c r="AM869" s="1552">
        <v>103.429793</v>
      </c>
      <c r="AN869" s="1349" t="s">
        <v>6798</v>
      </c>
      <c r="AO869" s="1349" t="s">
        <v>6798</v>
      </c>
      <c r="AP869" s="1349" t="s">
        <v>6798</v>
      </c>
      <c r="AQ869" s="496" t="s">
        <v>6798</v>
      </c>
      <c r="AR869" s="891"/>
      <c r="AS869" s="697" t="s">
        <v>6798</v>
      </c>
      <c r="AT869" s="1853">
        <v>0</v>
      </c>
      <c r="AU869" s="1853">
        <v>0</v>
      </c>
      <c r="AV869" s="1853">
        <v>0</v>
      </c>
      <c r="AW869" s="1853">
        <v>0</v>
      </c>
      <c r="AX869" s="1853">
        <v>0</v>
      </c>
      <c r="AY869" s="1853">
        <v>0</v>
      </c>
      <c r="AZ869" s="1853">
        <v>0</v>
      </c>
      <c r="BA869" s="1853">
        <v>0</v>
      </c>
      <c r="BB869" s="514">
        <v>0</v>
      </c>
      <c r="BC869" s="514">
        <v>0</v>
      </c>
      <c r="BD869" s="514">
        <v>0</v>
      </c>
      <c r="BE869" s="514">
        <v>0</v>
      </c>
      <c r="BF869" s="514">
        <v>0</v>
      </c>
      <c r="BG869" s="514">
        <v>0</v>
      </c>
      <c r="BH869" s="514">
        <v>0</v>
      </c>
      <c r="BI869" s="33"/>
      <c r="BJ869" s="12"/>
    </row>
    <row r="870" spans="1:62" ht="80.25" hidden="1" customHeight="1">
      <c r="A870" s="16">
        <f>OBRA!K868</f>
        <v>2024</v>
      </c>
      <c r="B870" s="781" t="s">
        <v>3947</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6842</v>
      </c>
      <c r="L870" s="3" t="s">
        <v>6255</v>
      </c>
      <c r="M870" s="3" t="s">
        <v>6456</v>
      </c>
      <c r="N870" s="3" t="str">
        <f>OBRA!R868</f>
        <v>CABECERA MUNICIPAL</v>
      </c>
      <c r="O870" s="505" t="s">
        <v>6514</v>
      </c>
      <c r="P870" s="4">
        <f>OBRA!S868</f>
        <v>1641205.93</v>
      </c>
      <c r="Q870" s="1045">
        <f t="shared" si="68"/>
        <v>1414832.698275862</v>
      </c>
      <c r="R870" s="1762" t="s">
        <v>67</v>
      </c>
      <c r="S870" s="6">
        <f>OBRA!T868</f>
        <v>45537</v>
      </c>
      <c r="T870" s="1156">
        <f>OBRA!W868</f>
        <v>45534</v>
      </c>
      <c r="U870" s="5">
        <f>OBRA!U868</f>
        <v>45545</v>
      </c>
      <c r="V870" s="11">
        <f>OBRA!V868</f>
        <v>45550</v>
      </c>
      <c r="W870" s="1557">
        <v>492361.78</v>
      </c>
      <c r="X870" s="1041">
        <f>OBRA!AT868+OBRA!AU868</f>
        <v>1641184.91</v>
      </c>
      <c r="Y870" s="1040" t="s">
        <v>6370</v>
      </c>
      <c r="Z870" s="146" t="str">
        <f>OBRA!X868</f>
        <v>TERRACERÍAS Y PAVIMENTOS DE LA RIBERA, S.A. DE C.V.</v>
      </c>
      <c r="AA870" s="146" t="s">
        <v>5669</v>
      </c>
      <c r="AB870" s="1828" t="s">
        <v>4447</v>
      </c>
      <c r="AC870" s="1829" t="s">
        <v>3473</v>
      </c>
      <c r="AD870" s="1828" t="s">
        <v>6073</v>
      </c>
      <c r="AE870" s="184" t="str">
        <f>OBRA!Y868</f>
        <v>C. IMELDA KARINA PÉREZ GONZÁLEZ</v>
      </c>
      <c r="AF870" s="19">
        <v>1786.81</v>
      </c>
      <c r="AG870" s="2" t="s">
        <v>1548</v>
      </c>
      <c r="AH870" s="607">
        <f t="shared" si="69"/>
        <v>918.4999580257554</v>
      </c>
      <c r="AI870" s="2">
        <v>200</v>
      </c>
      <c r="AJ870" s="2">
        <v>22000</v>
      </c>
      <c r="AK870" s="1991">
        <v>1</v>
      </c>
      <c r="AL870" s="1551">
        <v>20.284939999999999</v>
      </c>
      <c r="AM870" s="1552">
        <v>103.424854</v>
      </c>
      <c r="AN870" s="1349" t="s">
        <v>6799</v>
      </c>
      <c r="AO870" s="1349" t="s">
        <v>6799</v>
      </c>
      <c r="AP870" s="1349" t="s">
        <v>6799</v>
      </c>
      <c r="AQ870" s="496" t="s">
        <v>6799</v>
      </c>
      <c r="AR870" s="891"/>
      <c r="AS870" s="697" t="s">
        <v>6799</v>
      </c>
      <c r="AT870" s="1853">
        <v>0</v>
      </c>
      <c r="AU870" s="1853">
        <v>0</v>
      </c>
      <c r="AV870" s="1853">
        <v>0</v>
      </c>
      <c r="AW870" s="1853">
        <v>0</v>
      </c>
      <c r="AX870" s="1853">
        <v>0</v>
      </c>
      <c r="AY870" s="1853">
        <v>0</v>
      </c>
      <c r="AZ870" s="1853">
        <v>0</v>
      </c>
      <c r="BA870" s="1853">
        <v>0</v>
      </c>
      <c r="BB870" s="514">
        <v>0</v>
      </c>
      <c r="BC870" s="514">
        <v>0</v>
      </c>
      <c r="BD870" s="514">
        <v>0</v>
      </c>
      <c r="BE870" s="514">
        <v>0</v>
      </c>
      <c r="BF870" s="514">
        <v>0</v>
      </c>
      <c r="BG870" s="514">
        <v>0</v>
      </c>
      <c r="BH870" s="514">
        <v>0</v>
      </c>
      <c r="BI870" s="33"/>
      <c r="BJ870" s="12"/>
    </row>
    <row r="871" spans="1:62" ht="72" hidden="1" customHeight="1">
      <c r="A871" s="16">
        <f>OBRA!K869</f>
        <v>2024</v>
      </c>
      <c r="B871" s="781" t="s">
        <v>3947</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6843</v>
      </c>
      <c r="L871" s="3" t="s">
        <v>6255</v>
      </c>
      <c r="M871" s="3" t="s">
        <v>6457</v>
      </c>
      <c r="N871" s="3" t="str">
        <f>OBRA!R869</f>
        <v>HUEJOTITÁN</v>
      </c>
      <c r="O871" s="505" t="s">
        <v>6514</v>
      </c>
      <c r="P871" s="4">
        <f>OBRA!S869</f>
        <v>2600448.56</v>
      </c>
      <c r="Q871" s="1045">
        <f t="shared" si="68"/>
        <v>2241766</v>
      </c>
      <c r="R871" s="1762" t="s">
        <v>67</v>
      </c>
      <c r="S871" s="6">
        <f>OBRA!T869</f>
        <v>45540</v>
      </c>
      <c r="T871" s="1156">
        <f>OBRA!W869</f>
        <v>0</v>
      </c>
      <c r="U871" s="5">
        <f>OBRA!U869</f>
        <v>45541</v>
      </c>
      <c r="V871" s="11">
        <f>OBRA!V869</f>
        <v>45551</v>
      </c>
      <c r="W871" s="1557">
        <v>780134.57</v>
      </c>
      <c r="X871" s="1041">
        <f>OBRA!AT869+OBRA!AU869</f>
        <v>2600285.02</v>
      </c>
      <c r="Y871" s="1040" t="s">
        <v>6552</v>
      </c>
      <c r="Z871" s="146" t="str">
        <f>OBRA!X869</f>
        <v>SERGIO CABRERA</v>
      </c>
      <c r="AA871" s="146" t="s">
        <v>5668</v>
      </c>
      <c r="AB871" s="1816" t="s">
        <v>4447</v>
      </c>
      <c r="AC871" s="146" t="s">
        <v>1922</v>
      </c>
      <c r="AD871" s="148" t="s">
        <v>6573</v>
      </c>
      <c r="AE871" s="184" t="str">
        <f>OBRA!Y869</f>
        <v>C. IMELDA KARINA PÉREZ GONZÁLEZ</v>
      </c>
      <c r="AF871" s="19">
        <v>6840.4</v>
      </c>
      <c r="AG871" s="2" t="s">
        <v>1548</v>
      </c>
      <c r="AH871" s="607">
        <f t="shared" si="69"/>
        <v>380.13639845623067</v>
      </c>
      <c r="AI871" s="2" t="s">
        <v>67</v>
      </c>
      <c r="AJ871" s="2">
        <v>1300</v>
      </c>
      <c r="AK871" s="1991">
        <v>1</v>
      </c>
      <c r="AL871" s="1551">
        <v>20.347173999999999</v>
      </c>
      <c r="AM871" s="1552">
        <v>103.49384499999999</v>
      </c>
      <c r="AN871" s="1349" t="s">
        <v>6553</v>
      </c>
      <c r="AO871" s="1349" t="s">
        <v>6553</v>
      </c>
      <c r="AP871" s="1349" t="s">
        <v>6553</v>
      </c>
      <c r="AQ871" s="496" t="s">
        <v>6553</v>
      </c>
      <c r="AR871" s="891"/>
      <c r="AS871" s="697" t="s">
        <v>6553</v>
      </c>
      <c r="AT871" s="1853">
        <v>0</v>
      </c>
      <c r="AU871" s="1853">
        <v>0</v>
      </c>
      <c r="AV871" s="1853">
        <v>0</v>
      </c>
      <c r="AW871" s="1853">
        <v>0</v>
      </c>
      <c r="AX871" s="1853">
        <v>0</v>
      </c>
      <c r="AY871" s="1853">
        <v>0</v>
      </c>
      <c r="AZ871" s="1853">
        <v>0</v>
      </c>
      <c r="BA871" s="1853">
        <v>0</v>
      </c>
      <c r="BB871" s="514">
        <v>0</v>
      </c>
      <c r="BC871" s="514">
        <v>0</v>
      </c>
      <c r="BD871" s="514">
        <v>0</v>
      </c>
      <c r="BE871" s="514">
        <v>0</v>
      </c>
      <c r="BF871" s="514">
        <v>0</v>
      </c>
      <c r="BG871" s="514">
        <v>0</v>
      </c>
      <c r="BH871" s="514">
        <v>0</v>
      </c>
      <c r="BI871" s="33"/>
      <c r="BJ871" s="12"/>
    </row>
    <row r="872" spans="1:62" ht="77.25" hidden="1" customHeight="1">
      <c r="A872" s="16">
        <f>OBRA!K870</f>
        <v>2024</v>
      </c>
      <c r="B872" s="781" t="s">
        <v>3947</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6944</v>
      </c>
      <c r="L872" s="3" t="s">
        <v>4754</v>
      </c>
      <c r="M872" s="3" t="s">
        <v>6458</v>
      </c>
      <c r="N872" s="3" t="str">
        <f>OBRA!R870</f>
        <v>CABECERA MUNICIPAL</v>
      </c>
      <c r="O872" s="505" t="s">
        <v>6514</v>
      </c>
      <c r="P872" s="4">
        <f>OBRA!S870</f>
        <v>758548.36</v>
      </c>
      <c r="Q872" s="1045">
        <f t="shared" si="68"/>
        <v>653921</v>
      </c>
      <c r="R872" s="1762" t="s">
        <v>67</v>
      </c>
      <c r="S872" s="6">
        <f>OBRA!T870</f>
        <v>45562</v>
      </c>
      <c r="T872" s="1156">
        <f>OBRA!W870</f>
        <v>45562</v>
      </c>
      <c r="U872" s="5">
        <f>OBRA!U870</f>
        <v>45562</v>
      </c>
      <c r="V872" s="11">
        <f>OBRA!V870</f>
        <v>45569</v>
      </c>
      <c r="W872" s="1557">
        <v>0</v>
      </c>
      <c r="X872" s="1041">
        <f>OBRA!AT870+OBRA!AU870</f>
        <v>711828.2</v>
      </c>
      <c r="Y872" s="1040" t="s">
        <v>6584</v>
      </c>
      <c r="Z872" s="146" t="str">
        <f>OBRA!X870</f>
        <v>ING. MARCO ANTONIO PAREDES RODRÍGUEZ</v>
      </c>
      <c r="AA872" s="146" t="s">
        <v>5668</v>
      </c>
      <c r="AB872" s="1816" t="s">
        <v>3745</v>
      </c>
      <c r="AC872" s="146" t="s">
        <v>4295</v>
      </c>
      <c r="AD872" s="1366" t="s">
        <v>6571</v>
      </c>
      <c r="AE872" s="184" t="str">
        <f>OBRA!Y870</f>
        <v>ING. LUIS RIGOBERTO OLMEDO NAVARRO</v>
      </c>
      <c r="AF872" s="19">
        <v>1</v>
      </c>
      <c r="AG872" s="2" t="s">
        <v>1573</v>
      </c>
      <c r="AH872" s="607">
        <f t="shared" si="69"/>
        <v>711828.2</v>
      </c>
      <c r="AI872" s="2">
        <v>500</v>
      </c>
      <c r="AJ872" s="2">
        <v>10000</v>
      </c>
      <c r="AK872" s="1991">
        <v>1</v>
      </c>
      <c r="AL872" s="1551">
        <v>20.282632</v>
      </c>
      <c r="AM872" s="1552">
        <v>103.439976</v>
      </c>
      <c r="AN872" s="1349" t="s">
        <v>6801</v>
      </c>
      <c r="AO872" s="1349" t="s">
        <v>6801</v>
      </c>
      <c r="AP872" s="1349" t="s">
        <v>6801</v>
      </c>
      <c r="AQ872" s="496" t="s">
        <v>6801</v>
      </c>
      <c r="AR872" s="891"/>
      <c r="AS872" s="697" t="s">
        <v>6801</v>
      </c>
      <c r="AT872" s="2024">
        <v>0</v>
      </c>
      <c r="AU872" s="2024">
        <v>0</v>
      </c>
      <c r="AV872" s="2024">
        <v>0</v>
      </c>
      <c r="AW872" s="2024">
        <v>0</v>
      </c>
      <c r="AX872" s="2024">
        <v>0</v>
      </c>
      <c r="AY872" s="2024">
        <v>0</v>
      </c>
      <c r="AZ872" s="2024">
        <v>0</v>
      </c>
      <c r="BA872" s="2024">
        <v>0</v>
      </c>
      <c r="BB872" s="529">
        <v>0</v>
      </c>
      <c r="BC872" s="529">
        <v>0</v>
      </c>
      <c r="BD872" s="529">
        <v>0</v>
      </c>
      <c r="BE872" s="529">
        <v>0</v>
      </c>
      <c r="BF872" s="529">
        <v>0</v>
      </c>
      <c r="BG872" s="529">
        <v>0</v>
      </c>
      <c r="BH872" s="529">
        <v>0</v>
      </c>
      <c r="BI872" s="33"/>
      <c r="BJ872" s="12"/>
    </row>
    <row r="873" spans="1:62" ht="15" hidden="1" customHeight="1">
      <c r="A873" s="16">
        <f>OBRA!K871</f>
        <v>2025</v>
      </c>
      <c r="B873" s="781" t="s">
        <v>6558</v>
      </c>
      <c r="C873" s="781">
        <f>OBRA!L871</f>
        <v>0</v>
      </c>
      <c r="D873" s="24" t="s">
        <v>2313</v>
      </c>
      <c r="E873" s="2">
        <f>OBRA!N871</f>
        <v>0</v>
      </c>
      <c r="F873" s="512"/>
      <c r="G873" s="1718"/>
      <c r="H873" s="12">
        <f>OBRA!O871</f>
        <v>0</v>
      </c>
      <c r="I873" s="2" t="str">
        <f>OBRA!P871</f>
        <v>CONVENIO</v>
      </c>
      <c r="J873" s="3">
        <f>OBRA!Q871</f>
        <v>0</v>
      </c>
      <c r="K873" s="544"/>
      <c r="L873" s="544" t="s">
        <v>67</v>
      </c>
      <c r="M873" s="544"/>
      <c r="N873" s="3">
        <f>OBRA!R871</f>
        <v>0</v>
      </c>
      <c r="O873" s="532"/>
      <c r="P873" s="4">
        <f>OBRA!S871</f>
        <v>0</v>
      </c>
      <c r="Q873" s="1045">
        <f t="shared" si="68"/>
        <v>0</v>
      </c>
      <c r="R873" s="1762" t="s">
        <v>67</v>
      </c>
      <c r="S873" s="6">
        <f>OBRA!T871</f>
        <v>0</v>
      </c>
      <c r="T873" s="1156" t="str">
        <f>OBRA!W871</f>
        <v>-</v>
      </c>
      <c r="U873" s="5">
        <f>OBRA!U871</f>
        <v>0</v>
      </c>
      <c r="V873" s="11">
        <f>OBRA!V871</f>
        <v>0</v>
      </c>
      <c r="W873" s="1037"/>
      <c r="X873" s="1041">
        <f>OBRA!AT871+OBRA!AU871</f>
        <v>0</v>
      </c>
      <c r="Y873" s="1039"/>
      <c r="Z873" s="1988" t="str">
        <f>OBRA!X871</f>
        <v>-</v>
      </c>
      <c r="AA873" s="1988" t="s">
        <v>67</v>
      </c>
      <c r="AB873" s="2022" t="str">
        <f>Z873</f>
        <v>-</v>
      </c>
      <c r="AC873" s="163"/>
      <c r="AD873" s="1193"/>
      <c r="AE873" s="554" t="str">
        <f>OBRA!Y871</f>
        <v>-</v>
      </c>
      <c r="AF873" s="161"/>
      <c r="AG873" s="511"/>
      <c r="AH873" s="625" t="e">
        <f t="shared" si="69"/>
        <v>#DIV/0!</v>
      </c>
      <c r="AI873" s="511"/>
      <c r="AJ873" s="511"/>
      <c r="AK873" s="935"/>
      <c r="AL873" s="626"/>
      <c r="AM873" s="1546"/>
      <c r="AN873" s="565"/>
      <c r="AO873" s="565"/>
      <c r="AP873" s="565"/>
      <c r="AQ873" s="511"/>
      <c r="AR873" s="511"/>
      <c r="AS873" s="511"/>
      <c r="AT873" s="2027"/>
      <c r="AU873" s="2025"/>
      <c r="AV873" s="2025"/>
      <c r="AW873" s="2025"/>
      <c r="AX873" s="2025"/>
      <c r="AY873" s="2025"/>
      <c r="AZ873" s="2025"/>
      <c r="BA873" s="2025"/>
      <c r="BB873" s="2026"/>
      <c r="BC873" s="2026"/>
      <c r="BD873" s="2026"/>
      <c r="BE873" s="2026"/>
      <c r="BF873" s="2026"/>
      <c r="BG873" s="2026"/>
      <c r="BH873" s="2028"/>
      <c r="BI873" s="2"/>
      <c r="BJ873" s="12"/>
    </row>
    <row r="874" spans="1:62" ht="15" hidden="1" customHeight="1">
      <c r="A874" s="16">
        <f>OBRA!K872</f>
        <v>2025</v>
      </c>
      <c r="B874" s="781" t="s">
        <v>6558</v>
      </c>
      <c r="C874" s="781">
        <f>OBRA!L872</f>
        <v>0</v>
      </c>
      <c r="D874" s="24" t="s">
        <v>2313</v>
      </c>
      <c r="E874" s="2">
        <f>OBRA!N872</f>
        <v>0</v>
      </c>
      <c r="F874" s="512"/>
      <c r="G874" s="1718"/>
      <c r="H874" s="12">
        <f>OBRA!O872</f>
        <v>0</v>
      </c>
      <c r="I874" s="2" t="str">
        <f>OBRA!P872</f>
        <v>CONVENIO</v>
      </c>
      <c r="J874" s="3">
        <f>OBRA!Q872</f>
        <v>0</v>
      </c>
      <c r="K874" s="544"/>
      <c r="L874" s="544" t="s">
        <v>67</v>
      </c>
      <c r="M874" s="544"/>
      <c r="N874" s="3">
        <f>OBRA!R872</f>
        <v>0</v>
      </c>
      <c r="O874" s="532"/>
      <c r="P874" s="4">
        <f>OBRA!S872</f>
        <v>0</v>
      </c>
      <c r="Q874" s="1045">
        <f t="shared" ref="Q874:Q904" si="70">P874/1.16</f>
        <v>0</v>
      </c>
      <c r="R874" s="1762" t="s">
        <v>67</v>
      </c>
      <c r="S874" s="6">
        <f>OBRA!T872</f>
        <v>0</v>
      </c>
      <c r="T874" s="1156" t="str">
        <f>OBRA!W872</f>
        <v>-</v>
      </c>
      <c r="U874" s="5">
        <f>OBRA!U872</f>
        <v>0</v>
      </c>
      <c r="V874" s="11">
        <f>OBRA!V872</f>
        <v>0</v>
      </c>
      <c r="W874" s="1037"/>
      <c r="X874" s="1041">
        <f>OBRA!AT872+OBRA!AU872</f>
        <v>0</v>
      </c>
      <c r="Y874" s="1039"/>
      <c r="Z874" s="1988" t="str">
        <f>OBRA!X872</f>
        <v>-</v>
      </c>
      <c r="AA874" s="1988" t="s">
        <v>67</v>
      </c>
      <c r="AB874" s="2022" t="str">
        <f t="shared" ref="AB874:AB904" si="71">Z874</f>
        <v>-</v>
      </c>
      <c r="AC874" s="163"/>
      <c r="AD874" s="1193"/>
      <c r="AE874" s="554" t="str">
        <f>OBRA!Y872</f>
        <v>-</v>
      </c>
      <c r="AF874" s="161"/>
      <c r="AG874" s="511"/>
      <c r="AH874" s="625" t="e">
        <f t="shared" ref="AH874:AH904" si="72">X874/AF874</f>
        <v>#DIV/0!</v>
      </c>
      <c r="AI874" s="511"/>
      <c r="AJ874" s="511"/>
      <c r="AK874" s="935"/>
      <c r="AL874" s="626"/>
      <c r="AM874" s="1546"/>
      <c r="AN874" s="565"/>
      <c r="AO874" s="565"/>
      <c r="AP874" s="565"/>
      <c r="AQ874" s="511"/>
      <c r="AR874" s="511"/>
      <c r="AS874" s="511"/>
      <c r="AT874" s="2027"/>
      <c r="AU874" s="2025"/>
      <c r="AV874" s="2025"/>
      <c r="AW874" s="2025"/>
      <c r="AX874" s="2025"/>
      <c r="AY874" s="2025"/>
      <c r="AZ874" s="2025"/>
      <c r="BA874" s="2025"/>
      <c r="BB874" s="2026"/>
      <c r="BC874" s="2026"/>
      <c r="BD874" s="2026"/>
      <c r="BE874" s="2026"/>
      <c r="BF874" s="2026"/>
      <c r="BG874" s="2026"/>
      <c r="BH874" s="2028"/>
      <c r="BI874" s="2"/>
      <c r="BJ874" s="12"/>
    </row>
    <row r="875" spans="1:62" ht="15" hidden="1" customHeight="1">
      <c r="A875" s="16">
        <f>OBRA!K873</f>
        <v>2025</v>
      </c>
      <c r="B875" s="781" t="s">
        <v>6558</v>
      </c>
      <c r="C875" s="781"/>
      <c r="D875" s="24"/>
      <c r="E875" s="2">
        <f>OBRA!N873</f>
        <v>0</v>
      </c>
      <c r="F875" s="1292"/>
      <c r="G875" s="2" t="s">
        <v>2209</v>
      </c>
      <c r="H875" s="12" t="str">
        <f>OBRA!O873</f>
        <v>DOP/AD/001/2025</v>
      </c>
      <c r="I875" s="2" t="str">
        <f>OBRA!P873</f>
        <v>ADMINISTRACIÓN DIRECTA</v>
      </c>
      <c r="J875" s="3">
        <f>OBRA!Q873</f>
        <v>0</v>
      </c>
      <c r="K875" s="544"/>
      <c r="L875" s="544" t="s">
        <v>67</v>
      </c>
      <c r="M875" s="544"/>
      <c r="N875" s="3">
        <f>OBRA!R873</f>
        <v>0</v>
      </c>
      <c r="O875" s="532"/>
      <c r="P875" s="4">
        <f>OBRA!S873</f>
        <v>0</v>
      </c>
      <c r="Q875" s="1045">
        <f t="shared" si="70"/>
        <v>0</v>
      </c>
      <c r="R875" s="1762" t="s">
        <v>67</v>
      </c>
      <c r="S875" s="6">
        <f>OBRA!T873</f>
        <v>0</v>
      </c>
      <c r="T875" s="1156" t="str">
        <f>OBRA!W873</f>
        <v>-</v>
      </c>
      <c r="U875" s="5">
        <f>OBRA!U873</f>
        <v>0</v>
      </c>
      <c r="V875" s="11">
        <f>OBRA!V873</f>
        <v>0</v>
      </c>
      <c r="W875" s="1037"/>
      <c r="X875" s="1041">
        <f>OBRA!AT873+OBRA!AU873</f>
        <v>0</v>
      </c>
      <c r="Y875" s="1039"/>
      <c r="Z875" s="1988" t="str">
        <f>OBRA!X873</f>
        <v>-</v>
      </c>
      <c r="AA875" s="1988" t="s">
        <v>67</v>
      </c>
      <c r="AB875" s="2022" t="str">
        <f t="shared" si="71"/>
        <v>-</v>
      </c>
      <c r="AC875" s="163"/>
      <c r="AD875" s="1193"/>
      <c r="AE875" s="554">
        <f>OBRA!Y873</f>
        <v>0</v>
      </c>
      <c r="AF875" s="161"/>
      <c r="AG875" s="511"/>
      <c r="AH875" s="625" t="e">
        <f t="shared" si="72"/>
        <v>#DIV/0!</v>
      </c>
      <c r="AI875" s="511"/>
      <c r="AJ875" s="511"/>
      <c r="AK875" s="1994"/>
      <c r="AL875" s="626"/>
      <c r="AM875" s="1546"/>
      <c r="AN875" s="565"/>
      <c r="AO875" s="565"/>
      <c r="AP875" s="565"/>
      <c r="AQ875" s="511"/>
      <c r="AR875" s="511"/>
      <c r="AS875" s="511"/>
      <c r="AT875" s="2027"/>
      <c r="AU875" s="2025"/>
      <c r="AV875" s="2025"/>
      <c r="AW875" s="2025"/>
      <c r="AX875" s="2025"/>
      <c r="AY875" s="2025"/>
      <c r="AZ875" s="2025"/>
      <c r="BA875" s="2025"/>
      <c r="BB875" s="2026"/>
      <c r="BC875" s="2026"/>
      <c r="BD875" s="2026"/>
      <c r="BE875" s="2026"/>
      <c r="BF875" s="2026"/>
      <c r="BG875" s="2026"/>
      <c r="BH875" s="2028"/>
      <c r="BI875" s="2"/>
      <c r="BJ875" s="12"/>
    </row>
    <row r="876" spans="1:62" ht="15" hidden="1" customHeight="1">
      <c r="A876" s="16">
        <f>OBRA!K874</f>
        <v>2025</v>
      </c>
      <c r="B876" s="781" t="s">
        <v>6558</v>
      </c>
      <c r="C876" s="781"/>
      <c r="D876" s="24"/>
      <c r="E876" s="2">
        <f>OBRA!N874</f>
        <v>0</v>
      </c>
      <c r="F876" s="512"/>
      <c r="G876" s="2" t="s">
        <v>2209</v>
      </c>
      <c r="H876" s="12" t="str">
        <f>OBRA!O874</f>
        <v>DOP/AD/002/2025</v>
      </c>
      <c r="I876" s="2" t="str">
        <f>OBRA!P874</f>
        <v>ADMINISTRACIÓN DIRECTA</v>
      </c>
      <c r="J876" s="3">
        <f>OBRA!Q874</f>
        <v>0</v>
      </c>
      <c r="K876" s="544"/>
      <c r="L876" s="544" t="s">
        <v>67</v>
      </c>
      <c r="M876" s="544"/>
      <c r="N876" s="3">
        <f>OBRA!R874</f>
        <v>0</v>
      </c>
      <c r="O876" s="532"/>
      <c r="P876" s="4">
        <f>OBRA!S874</f>
        <v>0</v>
      </c>
      <c r="Q876" s="1045">
        <f t="shared" si="70"/>
        <v>0</v>
      </c>
      <c r="R876" s="1762" t="s">
        <v>67</v>
      </c>
      <c r="S876" s="6">
        <f>OBRA!T874</f>
        <v>0</v>
      </c>
      <c r="T876" s="1156" t="str">
        <f>OBRA!W874</f>
        <v>-</v>
      </c>
      <c r="U876" s="5">
        <f>OBRA!U874</f>
        <v>0</v>
      </c>
      <c r="V876" s="11">
        <f>OBRA!V874</f>
        <v>0</v>
      </c>
      <c r="W876" s="1037"/>
      <c r="X876" s="1041">
        <f>OBRA!AT874+OBRA!AU874</f>
        <v>0</v>
      </c>
      <c r="Y876" s="1039"/>
      <c r="Z876" s="1988" t="str">
        <f>OBRA!X874</f>
        <v>-</v>
      </c>
      <c r="AA876" s="1988" t="s">
        <v>67</v>
      </c>
      <c r="AB876" s="2022" t="str">
        <f t="shared" si="71"/>
        <v>-</v>
      </c>
      <c r="AC876" s="163"/>
      <c r="AD876" s="1193"/>
      <c r="AE876" s="554">
        <f>OBRA!Y874</f>
        <v>0</v>
      </c>
      <c r="AF876" s="161"/>
      <c r="AG876" s="511"/>
      <c r="AH876" s="625" t="e">
        <f t="shared" si="72"/>
        <v>#DIV/0!</v>
      </c>
      <c r="AI876" s="511"/>
      <c r="AJ876" s="511"/>
      <c r="AK876" s="1994"/>
      <c r="AL876" s="626"/>
      <c r="AM876" s="1546"/>
      <c r="AN876" s="565"/>
      <c r="AO876" s="565"/>
      <c r="AP876" s="565"/>
      <c r="AQ876" s="511"/>
      <c r="AR876" s="511"/>
      <c r="AS876" s="511"/>
      <c r="AT876" s="2027"/>
      <c r="AU876" s="2025"/>
      <c r="AV876" s="2025"/>
      <c r="AW876" s="2025"/>
      <c r="AX876" s="2025"/>
      <c r="AY876" s="2025"/>
      <c r="AZ876" s="2025"/>
      <c r="BA876" s="2025"/>
      <c r="BB876" s="2026"/>
      <c r="BC876" s="2026"/>
      <c r="BD876" s="2026"/>
      <c r="BE876" s="2026"/>
      <c r="BF876" s="2026"/>
      <c r="BG876" s="2026"/>
      <c r="BH876" s="2028"/>
      <c r="BI876" s="2"/>
      <c r="BJ876" s="12"/>
    </row>
    <row r="877" spans="1:62" ht="15" hidden="1" customHeight="1">
      <c r="A877" s="16">
        <f>OBRA!K875</f>
        <v>2025</v>
      </c>
      <c r="B877" s="781" t="s">
        <v>6558</v>
      </c>
      <c r="C877" s="781"/>
      <c r="D877" s="24"/>
      <c r="E877" s="2">
        <f>OBRA!N875</f>
        <v>0</v>
      </c>
      <c r="F877" s="512"/>
      <c r="G877" s="2" t="s">
        <v>2209</v>
      </c>
      <c r="H877" s="12" t="str">
        <f>OBRA!O875</f>
        <v>DOP/AD/003/2025</v>
      </c>
      <c r="I877" s="2" t="str">
        <f>OBRA!P875</f>
        <v>ADMINISTRACIÓN DIRECTA</v>
      </c>
      <c r="J877" s="3">
        <f>OBRA!Q875</f>
        <v>0</v>
      </c>
      <c r="K877" s="544"/>
      <c r="L877" s="544" t="s">
        <v>67</v>
      </c>
      <c r="M877" s="544"/>
      <c r="N877" s="3">
        <f>OBRA!R875</f>
        <v>0</v>
      </c>
      <c r="O877" s="532"/>
      <c r="P877" s="4">
        <f>OBRA!S875</f>
        <v>0</v>
      </c>
      <c r="Q877" s="1045">
        <f t="shared" si="70"/>
        <v>0</v>
      </c>
      <c r="R877" s="1762" t="s">
        <v>67</v>
      </c>
      <c r="S877" s="6">
        <f>OBRA!T875</f>
        <v>0</v>
      </c>
      <c r="T877" s="1156" t="str">
        <f>OBRA!W875</f>
        <v>-</v>
      </c>
      <c r="U877" s="5">
        <f>OBRA!U875</f>
        <v>0</v>
      </c>
      <c r="V877" s="11">
        <f>OBRA!V875</f>
        <v>0</v>
      </c>
      <c r="W877" s="1037"/>
      <c r="X877" s="1041">
        <f>OBRA!AT875+OBRA!AU875</f>
        <v>0</v>
      </c>
      <c r="Y877" s="1039"/>
      <c r="Z877" s="1988" t="str">
        <f>OBRA!X875</f>
        <v>-</v>
      </c>
      <c r="AA877" s="1988" t="s">
        <v>67</v>
      </c>
      <c r="AB877" s="2022" t="str">
        <f t="shared" si="71"/>
        <v>-</v>
      </c>
      <c r="AC877" s="163"/>
      <c r="AD877" s="1193"/>
      <c r="AE877" s="554">
        <f>OBRA!Y875</f>
        <v>0</v>
      </c>
      <c r="AF877" s="161"/>
      <c r="AG877" s="511"/>
      <c r="AH877" s="625" t="e">
        <f t="shared" si="72"/>
        <v>#DIV/0!</v>
      </c>
      <c r="AI877" s="511"/>
      <c r="AJ877" s="511"/>
      <c r="AK877" s="1994"/>
      <c r="AL877" s="626"/>
      <c r="AM877" s="1546"/>
      <c r="AN877" s="565"/>
      <c r="AO877" s="565"/>
      <c r="AP877" s="565"/>
      <c r="AQ877" s="511"/>
      <c r="AR877" s="511"/>
      <c r="AS877" s="511"/>
      <c r="AT877" s="2027"/>
      <c r="AU877" s="2025"/>
      <c r="AV877" s="2025"/>
      <c r="AW877" s="2025"/>
      <c r="AX877" s="2025"/>
      <c r="AY877" s="2025"/>
      <c r="AZ877" s="2025"/>
      <c r="BA877" s="2025"/>
      <c r="BB877" s="2026"/>
      <c r="BC877" s="2026"/>
      <c r="BD877" s="2026"/>
      <c r="BE877" s="2026"/>
      <c r="BF877" s="2026"/>
      <c r="BG877" s="2026"/>
      <c r="BH877" s="2028"/>
      <c r="BI877" s="2"/>
      <c r="BJ877" s="12"/>
    </row>
    <row r="878" spans="1:62" ht="15" hidden="1" customHeight="1">
      <c r="A878" s="16">
        <f>OBRA!K876</f>
        <v>2025</v>
      </c>
      <c r="B878" s="781" t="s">
        <v>6558</v>
      </c>
      <c r="C878" s="781"/>
      <c r="D878" s="24"/>
      <c r="E878" s="2">
        <f>OBRA!N876</f>
        <v>0</v>
      </c>
      <c r="F878" s="512"/>
      <c r="G878" s="2" t="s">
        <v>2209</v>
      </c>
      <c r="H878" s="12" t="str">
        <f>OBRA!O876</f>
        <v>DOP/AD/004/2025</v>
      </c>
      <c r="I878" s="2" t="str">
        <f>OBRA!P876</f>
        <v>ADMINISTRACIÓN DIRECTA</v>
      </c>
      <c r="J878" s="3">
        <f>OBRA!Q876</f>
        <v>0</v>
      </c>
      <c r="K878" s="544"/>
      <c r="L878" s="544" t="s">
        <v>67</v>
      </c>
      <c r="M878" s="544"/>
      <c r="N878" s="3">
        <f>OBRA!R876</f>
        <v>0</v>
      </c>
      <c r="O878" s="532"/>
      <c r="P878" s="4">
        <f>OBRA!S876</f>
        <v>0</v>
      </c>
      <c r="Q878" s="1045">
        <f t="shared" si="70"/>
        <v>0</v>
      </c>
      <c r="R878" s="1762" t="s">
        <v>67</v>
      </c>
      <c r="S878" s="6">
        <f>OBRA!T876</f>
        <v>0</v>
      </c>
      <c r="T878" s="1156" t="str">
        <f>OBRA!W876</f>
        <v>-</v>
      </c>
      <c r="U878" s="5">
        <f>OBRA!U876</f>
        <v>0</v>
      </c>
      <c r="V878" s="11">
        <f>OBRA!V876</f>
        <v>0</v>
      </c>
      <c r="W878" s="1037"/>
      <c r="X878" s="1041">
        <f>OBRA!AT876+OBRA!AU876</f>
        <v>0</v>
      </c>
      <c r="Y878" s="1039"/>
      <c r="Z878" s="1988" t="str">
        <f>OBRA!X876</f>
        <v>-</v>
      </c>
      <c r="AA878" s="1988" t="s">
        <v>67</v>
      </c>
      <c r="AB878" s="2022" t="str">
        <f t="shared" si="71"/>
        <v>-</v>
      </c>
      <c r="AC878" s="163"/>
      <c r="AD878" s="1193"/>
      <c r="AE878" s="554">
        <f>OBRA!Y876</f>
        <v>0</v>
      </c>
      <c r="AF878" s="161"/>
      <c r="AG878" s="511"/>
      <c r="AH878" s="625" t="e">
        <f t="shared" si="72"/>
        <v>#DIV/0!</v>
      </c>
      <c r="AI878" s="511"/>
      <c r="AJ878" s="511"/>
      <c r="AK878" s="1994"/>
      <c r="AL878" s="626"/>
      <c r="AM878" s="1546"/>
      <c r="AN878" s="565"/>
      <c r="AO878" s="565"/>
      <c r="AP878" s="565"/>
      <c r="AQ878" s="511"/>
      <c r="AR878" s="511"/>
      <c r="AS878" s="511"/>
      <c r="AT878" s="2027"/>
      <c r="AU878" s="2025"/>
      <c r="AV878" s="2025"/>
      <c r="AW878" s="2025"/>
      <c r="AX878" s="2025"/>
      <c r="AY878" s="2025"/>
      <c r="AZ878" s="2025"/>
      <c r="BA878" s="2025"/>
      <c r="BB878" s="2026"/>
      <c r="BC878" s="2026"/>
      <c r="BD878" s="2026"/>
      <c r="BE878" s="2026"/>
      <c r="BF878" s="2026"/>
      <c r="BG878" s="2026"/>
      <c r="BH878" s="2028"/>
      <c r="BI878" s="2"/>
      <c r="BJ878" s="12"/>
    </row>
    <row r="879" spans="1:62" ht="15" hidden="1" customHeight="1">
      <c r="A879" s="16">
        <f>OBRA!K877</f>
        <v>2025</v>
      </c>
      <c r="B879" s="781" t="s">
        <v>6558</v>
      </c>
      <c r="C879" s="781"/>
      <c r="D879" s="24"/>
      <c r="E879" s="2">
        <f>OBRA!N877</f>
        <v>0</v>
      </c>
      <c r="F879" s="512"/>
      <c r="G879" s="2" t="s">
        <v>2209</v>
      </c>
      <c r="H879" s="12" t="str">
        <f>OBRA!O877</f>
        <v>DOP/AD/005/2025</v>
      </c>
      <c r="I879" s="2" t="str">
        <f>OBRA!P877</f>
        <v>ADMINISTRACIÓN DIRECTA</v>
      </c>
      <c r="J879" s="3">
        <f>OBRA!Q877</f>
        <v>0</v>
      </c>
      <c r="K879" s="544"/>
      <c r="L879" s="544" t="s">
        <v>67</v>
      </c>
      <c r="M879" s="544"/>
      <c r="N879" s="3">
        <f>OBRA!R877</f>
        <v>0</v>
      </c>
      <c r="O879" s="532"/>
      <c r="P879" s="4">
        <f>OBRA!S877</f>
        <v>0</v>
      </c>
      <c r="Q879" s="1045">
        <f t="shared" si="70"/>
        <v>0</v>
      </c>
      <c r="R879" s="1762" t="s">
        <v>67</v>
      </c>
      <c r="S879" s="6">
        <f>OBRA!T877</f>
        <v>0</v>
      </c>
      <c r="T879" s="1156" t="str">
        <f>OBRA!W877</f>
        <v>-</v>
      </c>
      <c r="U879" s="5">
        <f>OBRA!U877</f>
        <v>0</v>
      </c>
      <c r="V879" s="11">
        <f>OBRA!V877</f>
        <v>0</v>
      </c>
      <c r="W879" s="1037"/>
      <c r="X879" s="1041">
        <f>OBRA!AT877+OBRA!AU877</f>
        <v>0</v>
      </c>
      <c r="Y879" s="1039"/>
      <c r="Z879" s="1988" t="str">
        <f>OBRA!X877</f>
        <v>-</v>
      </c>
      <c r="AA879" s="1988" t="s">
        <v>67</v>
      </c>
      <c r="AB879" s="2022" t="str">
        <f t="shared" si="71"/>
        <v>-</v>
      </c>
      <c r="AC879" s="163"/>
      <c r="AD879" s="1193"/>
      <c r="AE879" s="554">
        <f>OBRA!Y877</f>
        <v>0</v>
      </c>
      <c r="AF879" s="161"/>
      <c r="AG879" s="511"/>
      <c r="AH879" s="625" t="e">
        <f t="shared" si="72"/>
        <v>#DIV/0!</v>
      </c>
      <c r="AI879" s="511"/>
      <c r="AJ879" s="511"/>
      <c r="AK879" s="1994"/>
      <c r="AL879" s="626"/>
      <c r="AM879" s="1546"/>
      <c r="AN879" s="565"/>
      <c r="AO879" s="565"/>
      <c r="AP879" s="565"/>
      <c r="AQ879" s="511"/>
      <c r="AR879" s="511"/>
      <c r="AS879" s="511"/>
      <c r="AT879" s="2027"/>
      <c r="AU879" s="2025"/>
      <c r="AV879" s="2025"/>
      <c r="AW879" s="2025"/>
      <c r="AX879" s="2025"/>
      <c r="AY879" s="2025"/>
      <c r="AZ879" s="2025"/>
      <c r="BA879" s="2025"/>
      <c r="BB879" s="2026"/>
      <c r="BC879" s="2026"/>
      <c r="BD879" s="2026"/>
      <c r="BE879" s="2026"/>
      <c r="BF879" s="2026"/>
      <c r="BG879" s="2026"/>
      <c r="BH879" s="2028"/>
      <c r="BI879" s="2"/>
      <c r="BJ879" s="12"/>
    </row>
    <row r="880" spans="1:62" ht="66.75" hidden="1" customHeight="1">
      <c r="A880" s="16">
        <f>OBRA!K878</f>
        <v>2025</v>
      </c>
      <c r="B880" s="781" t="s">
        <v>6558</v>
      </c>
      <c r="C880" s="781"/>
      <c r="D880" s="24"/>
      <c r="E880" s="2" t="str">
        <f>OBRA!N878</f>
        <v>CUENTA CORRIENTE</v>
      </c>
      <c r="F880" s="512"/>
      <c r="G880" s="2" t="s">
        <v>2209</v>
      </c>
      <c r="H880" s="12" t="str">
        <f>OBRA!O878</f>
        <v>GMJ 001C OP/2025</v>
      </c>
      <c r="I880" s="2" t="str">
        <f>OBRA!P878</f>
        <v>ADJUDICACIÓN DIRECTA</v>
      </c>
      <c r="J880" s="544" t="str">
        <f>OBRA!Q878</f>
        <v>"REHABILITACIÓN DE REDES HIDROSANITARIAS Y SUPERFICIE DE RODAMIENTO, EN PRIV. ANIMA SOLA", EN LA CABECERA MUNICIPAL DE JOCOTEPEC, JALISCO.</v>
      </c>
      <c r="K880" s="544"/>
      <c r="L880" s="3" t="s">
        <v>6249</v>
      </c>
      <c r="M880" s="3" t="s">
        <v>6990</v>
      </c>
      <c r="N880" s="3" t="str">
        <f>OBRA!R878</f>
        <v>CABECERA MUNICIPAL</v>
      </c>
      <c r="O880" s="532"/>
      <c r="P880" s="4">
        <f>OBRA!S878</f>
        <v>601216.35</v>
      </c>
      <c r="Q880" s="1045">
        <f t="shared" si="70"/>
        <v>518289.95689655177</v>
      </c>
      <c r="R880" s="1762" t="s">
        <v>67</v>
      </c>
      <c r="S880" s="6">
        <f>OBRA!T878</f>
        <v>45762</v>
      </c>
      <c r="T880" s="1156">
        <f>OBRA!W878</f>
        <v>0</v>
      </c>
      <c r="U880" s="5">
        <f>OBRA!U878</f>
        <v>45807</v>
      </c>
      <c r="V880" s="11">
        <f>OBRA!V878</f>
        <v>45749</v>
      </c>
      <c r="W880" s="279">
        <v>0</v>
      </c>
      <c r="X880" s="1041">
        <f>OBRA!AT878+OBRA!AU878</f>
        <v>0</v>
      </c>
      <c r="Y880" s="1110" t="s">
        <v>6991</v>
      </c>
      <c r="Z880" s="146" t="str">
        <f>OBRA!X878</f>
        <v>MATERIALES Y OBRAS KORAK, S.A. DE C.V.</v>
      </c>
      <c r="AA880" s="146" t="s">
        <v>5669</v>
      </c>
      <c r="AB880" s="148" t="s">
        <v>6986</v>
      </c>
      <c r="AC880" s="146" t="s">
        <v>6987</v>
      </c>
      <c r="AD880" s="1366" t="s">
        <v>6988</v>
      </c>
      <c r="AE880" s="554">
        <f>OBRA!Y878</f>
        <v>0</v>
      </c>
      <c r="AF880" s="161"/>
      <c r="AG880" s="511"/>
      <c r="AH880" s="625" t="e">
        <f t="shared" si="72"/>
        <v>#DIV/0!</v>
      </c>
      <c r="AI880" s="511"/>
      <c r="AJ880" s="511"/>
      <c r="AK880" s="1994">
        <v>0</v>
      </c>
      <c r="AL880" s="626"/>
      <c r="AM880" s="1546"/>
      <c r="AN880" s="565"/>
      <c r="AO880" s="565"/>
      <c r="AP880" s="565"/>
      <c r="AQ880" s="511"/>
      <c r="AR880" s="511"/>
      <c r="AS880" s="511"/>
      <c r="AT880" s="2027"/>
      <c r="AU880" s="2025"/>
      <c r="AV880" s="2025"/>
      <c r="AW880" s="2025"/>
      <c r="AX880" s="2025"/>
      <c r="AY880" s="2025"/>
      <c r="AZ880" s="2025"/>
      <c r="BA880" s="2025"/>
      <c r="BB880" s="2026"/>
      <c r="BC880" s="2026"/>
      <c r="BD880" s="2026"/>
      <c r="BE880" s="2026"/>
      <c r="BF880" s="2026"/>
      <c r="BG880" s="2026"/>
      <c r="BH880" s="2028"/>
      <c r="BI880" s="2"/>
      <c r="BJ880" s="12"/>
    </row>
    <row r="881" spans="1:62" ht="15" hidden="1" customHeight="1">
      <c r="A881" s="16">
        <f>OBRA!K879</f>
        <v>2025</v>
      </c>
      <c r="B881" s="781" t="s">
        <v>6558</v>
      </c>
      <c r="C881" s="781"/>
      <c r="D881" s="24"/>
      <c r="E881" s="2">
        <f>OBRA!N879</f>
        <v>0</v>
      </c>
      <c r="F881" s="512"/>
      <c r="G881" s="2" t="s">
        <v>2209</v>
      </c>
      <c r="H881" s="12" t="str">
        <f>OBRA!O879</f>
        <v>GMJ 002C OP/2025</v>
      </c>
      <c r="I881" s="2" t="str">
        <f>OBRA!P879</f>
        <v>CONTRATO</v>
      </c>
      <c r="J881" s="3">
        <f>OBRA!Q879</f>
        <v>0</v>
      </c>
      <c r="K881" s="544"/>
      <c r="L881" s="544" t="s">
        <v>67</v>
      </c>
      <c r="M881" s="544"/>
      <c r="N881" s="3">
        <f>OBRA!R879</f>
        <v>0</v>
      </c>
      <c r="O881" s="532"/>
      <c r="P881" s="4">
        <f>OBRA!S879</f>
        <v>0</v>
      </c>
      <c r="Q881" s="1045">
        <f t="shared" si="70"/>
        <v>0</v>
      </c>
      <c r="R881" s="1762" t="s">
        <v>67</v>
      </c>
      <c r="S881" s="6">
        <f>OBRA!T879</f>
        <v>0</v>
      </c>
      <c r="T881" s="1156">
        <f>OBRA!W879</f>
        <v>0</v>
      </c>
      <c r="U881" s="5">
        <f>OBRA!U879</f>
        <v>0</v>
      </c>
      <c r="V881" s="11">
        <f>OBRA!V879</f>
        <v>0</v>
      </c>
      <c r="W881" s="1037"/>
      <c r="X881" s="1041">
        <f>OBRA!AT879+OBRA!AU879</f>
        <v>0</v>
      </c>
      <c r="Y881" s="1039"/>
      <c r="Z881" s="146">
        <f>OBRA!X879</f>
        <v>0</v>
      </c>
      <c r="AA881" s="146"/>
      <c r="AB881" s="148">
        <f t="shared" si="71"/>
        <v>0</v>
      </c>
      <c r="AC881" s="163"/>
      <c r="AD881" s="1193"/>
      <c r="AE881" s="554">
        <f>OBRA!Y879</f>
        <v>0</v>
      </c>
      <c r="AF881" s="161"/>
      <c r="AG881" s="511"/>
      <c r="AH881" s="625" t="e">
        <f t="shared" si="72"/>
        <v>#DIV/0!</v>
      </c>
      <c r="AI881" s="511"/>
      <c r="AJ881" s="511"/>
      <c r="AK881" s="1994"/>
      <c r="AL881" s="626"/>
      <c r="AM881" s="1546"/>
      <c r="AN881" s="565"/>
      <c r="AO881" s="565"/>
      <c r="AP881" s="565"/>
      <c r="AQ881" s="511"/>
      <c r="AR881" s="511"/>
      <c r="AS881" s="511"/>
      <c r="AT881" s="2027"/>
      <c r="AU881" s="2025"/>
      <c r="AV881" s="2025"/>
      <c r="AW881" s="2025"/>
      <c r="AX881" s="2025"/>
      <c r="AY881" s="2025"/>
      <c r="AZ881" s="2025"/>
      <c r="BA881" s="2025"/>
      <c r="BB881" s="2026"/>
      <c r="BC881" s="2026"/>
      <c r="BD881" s="2026"/>
      <c r="BE881" s="2026"/>
      <c r="BF881" s="2026"/>
      <c r="BG881" s="2026"/>
      <c r="BH881" s="2028"/>
      <c r="BI881" s="2"/>
      <c r="BJ881" s="12"/>
    </row>
    <row r="882" spans="1:62" ht="77.25" hidden="1" customHeight="1">
      <c r="A882" s="16">
        <f>OBRA!K880</f>
        <v>2025</v>
      </c>
      <c r="B882" s="781" t="s">
        <v>6558</v>
      </c>
      <c r="C882" s="781"/>
      <c r="D882" s="24"/>
      <c r="E882" s="2" t="str">
        <f>OBRA!N880</f>
        <v>RAMO 33</v>
      </c>
      <c r="F882" s="512"/>
      <c r="G882" s="2" t="s">
        <v>2209</v>
      </c>
      <c r="H882" s="12" t="str">
        <f>OBRA!O880</f>
        <v>GMJ 003C- OP/2025</v>
      </c>
      <c r="I882" s="2" t="str">
        <f>OBRA!P880</f>
        <v>ADJUDICACIÓN DIRECTA</v>
      </c>
      <c r="J882" s="3" t="str">
        <f>OBRA!Q880</f>
        <v>"CONSTRUCCIÓN DE SUPERFICIE DE RODAMIENTO EN CALLE BERNARDO QUINTANA DE AV. DEL TRABAJO A C. CERRADA EN LA LOCALIDAD DE ZAPOTITÁN DE HIDALGO, MUNICIPIO DE JOCOTEPEC, JALISCO.</v>
      </c>
      <c r="K882" s="544"/>
      <c r="L882" s="3" t="s">
        <v>6984</v>
      </c>
      <c r="M882" s="3" t="s">
        <v>6985</v>
      </c>
      <c r="N882" s="3" t="str">
        <f>OBRA!R880</f>
        <v>ZAPOTITÁN DE HIDALGO</v>
      </c>
      <c r="O882" s="532"/>
      <c r="P882" s="4">
        <f>OBRA!S880</f>
        <v>1338681.9099999999</v>
      </c>
      <c r="Q882" s="1045">
        <f t="shared" si="70"/>
        <v>1154036.1293103448</v>
      </c>
      <c r="R882" s="1762" t="s">
        <v>67</v>
      </c>
      <c r="S882" s="6">
        <f>OBRA!T880</f>
        <v>45761</v>
      </c>
      <c r="T882" s="1156">
        <f>OBRA!W880</f>
        <v>45761</v>
      </c>
      <c r="U882" s="5">
        <f>OBRA!U880</f>
        <v>45768</v>
      </c>
      <c r="V882" s="11">
        <f>OBRA!V880</f>
        <v>45809</v>
      </c>
      <c r="W882" s="279">
        <v>0</v>
      </c>
      <c r="X882" s="1041">
        <f>OBRA!AT880+OBRA!AU880</f>
        <v>0</v>
      </c>
      <c r="Y882" s="1040" t="s">
        <v>6909</v>
      </c>
      <c r="Z882" s="146" t="str">
        <f>OBRA!X880</f>
        <v>MATERIALES Y OBRAS KORAK, S.A. DE C.V.</v>
      </c>
      <c r="AA882" s="146" t="s">
        <v>5668</v>
      </c>
      <c r="AB882" s="148" t="s">
        <v>6986</v>
      </c>
      <c r="AC882" s="146" t="s">
        <v>6987</v>
      </c>
      <c r="AD882" s="1366" t="s">
        <v>6988</v>
      </c>
      <c r="AE882" s="184" t="str">
        <f>OBRA!Y880</f>
        <v>ING. ROMÁN RODRÍGUEZ SOLANO</v>
      </c>
      <c r="AF882" s="161"/>
      <c r="AG882" s="511"/>
      <c r="AH882" s="625" t="e">
        <f t="shared" si="72"/>
        <v>#DIV/0!</v>
      </c>
      <c r="AI882" s="511"/>
      <c r="AJ882" s="511"/>
      <c r="AK882" s="1994">
        <v>0.4</v>
      </c>
      <c r="AL882" s="626"/>
      <c r="AM882" s="1546"/>
      <c r="AN882" s="565"/>
      <c r="AO882" s="565"/>
      <c r="AP882" s="565"/>
      <c r="AQ882" s="511"/>
      <c r="AR882" s="511"/>
      <c r="AS882" s="511"/>
      <c r="AT882" s="2029"/>
      <c r="AU882" s="2030"/>
      <c r="AV882" s="2030"/>
      <c r="AW882" s="2030"/>
      <c r="AX882" s="2030"/>
      <c r="AY882" s="2030"/>
      <c r="AZ882" s="2030"/>
      <c r="BA882" s="2030"/>
      <c r="BB882" s="2031"/>
      <c r="BC882" s="2031"/>
      <c r="BD882" s="2031"/>
      <c r="BE882" s="2031"/>
      <c r="BF882" s="2031"/>
      <c r="BG882" s="2031"/>
      <c r="BH882" s="2032"/>
      <c r="BI882" s="2"/>
      <c r="BJ882" s="12"/>
    </row>
    <row r="883" spans="1:62" ht="15" hidden="1" customHeight="1">
      <c r="A883" s="16">
        <f>OBRA!K881</f>
        <v>2025</v>
      </c>
      <c r="B883" s="781" t="s">
        <v>6558</v>
      </c>
      <c r="C883" s="781"/>
      <c r="D883" s="24"/>
      <c r="E883" s="2">
        <f>OBRA!N881</f>
        <v>0</v>
      </c>
      <c r="F883" s="512"/>
      <c r="G883" s="2" t="s">
        <v>2209</v>
      </c>
      <c r="H883" s="12" t="str">
        <f>OBRA!O881</f>
        <v>GMJ 004C OP/2025</v>
      </c>
      <c r="I883" s="2" t="str">
        <f>OBRA!P881</f>
        <v>CONTRATO</v>
      </c>
      <c r="J883" s="3">
        <f>OBRA!Q881</f>
        <v>0</v>
      </c>
      <c r="K883" s="544"/>
      <c r="L883" s="544" t="s">
        <v>67</v>
      </c>
      <c r="M883" s="544"/>
      <c r="N883" s="3">
        <f>OBRA!R881</f>
        <v>0</v>
      </c>
      <c r="O883" s="532"/>
      <c r="P883" s="4">
        <f>OBRA!S881</f>
        <v>0</v>
      </c>
      <c r="Q883" s="1045">
        <f t="shared" si="70"/>
        <v>0</v>
      </c>
      <c r="R883" s="1762" t="s">
        <v>67</v>
      </c>
      <c r="S883" s="6">
        <f>OBRA!T881</f>
        <v>0</v>
      </c>
      <c r="T883" s="1156">
        <f>OBRA!W881</f>
        <v>0</v>
      </c>
      <c r="U883" s="5">
        <f>OBRA!U881</f>
        <v>0</v>
      </c>
      <c r="V883" s="11">
        <f>OBRA!V881</f>
        <v>0</v>
      </c>
      <c r="W883" s="1037"/>
      <c r="X883" s="1041">
        <f>OBRA!AT881+OBRA!AU881</f>
        <v>0</v>
      </c>
      <c r="Y883" s="1039"/>
      <c r="Z883" s="146">
        <f>OBRA!X881</f>
        <v>0</v>
      </c>
      <c r="AA883" s="146"/>
      <c r="AB883" s="148">
        <f t="shared" si="71"/>
        <v>0</v>
      </c>
      <c r="AC883" s="163"/>
      <c r="AD883" s="1193"/>
      <c r="AE883" s="554">
        <f>OBRA!Y881</f>
        <v>0</v>
      </c>
      <c r="AF883" s="161"/>
      <c r="AG883" s="511"/>
      <c r="AH883" s="625" t="e">
        <f t="shared" si="72"/>
        <v>#DIV/0!</v>
      </c>
      <c r="AI883" s="511"/>
      <c r="AJ883" s="511"/>
      <c r="AK883" s="1994"/>
      <c r="AL883" s="626"/>
      <c r="AM883" s="1546"/>
      <c r="AN883" s="565"/>
      <c r="AO883" s="565"/>
      <c r="AP883" s="565"/>
      <c r="AQ883" s="511"/>
      <c r="AR883" s="511"/>
      <c r="AS883" s="511"/>
      <c r="AT883" s="2027"/>
      <c r="AU883" s="2025"/>
      <c r="AV883" s="2025"/>
      <c r="AW883" s="2025"/>
      <c r="AX883" s="2025"/>
      <c r="AY883" s="2025"/>
      <c r="AZ883" s="2025"/>
      <c r="BA883" s="2025"/>
      <c r="BB883" s="2026"/>
      <c r="BC883" s="2026"/>
      <c r="BD883" s="2026"/>
      <c r="BE883" s="2026"/>
      <c r="BF883" s="2026"/>
      <c r="BG883" s="2026"/>
      <c r="BH883" s="2028"/>
      <c r="BI883" s="2"/>
      <c r="BJ883" s="12"/>
    </row>
    <row r="884" spans="1:62" ht="15" hidden="1" customHeight="1">
      <c r="A884" s="16">
        <f>OBRA!K882</f>
        <v>2025</v>
      </c>
      <c r="B884" s="781" t="s">
        <v>6558</v>
      </c>
      <c r="C884" s="781"/>
      <c r="D884" s="24"/>
      <c r="E884" s="2">
        <f>OBRA!N882</f>
        <v>0</v>
      </c>
      <c r="F884" s="512"/>
      <c r="G884" s="2" t="s">
        <v>2209</v>
      </c>
      <c r="H884" s="12" t="str">
        <f>OBRA!O882</f>
        <v>GMJ 005C OP/2025</v>
      </c>
      <c r="I884" s="2" t="str">
        <f>OBRA!P882</f>
        <v>CONTRATO</v>
      </c>
      <c r="J884" s="3">
        <f>OBRA!Q882</f>
        <v>0</v>
      </c>
      <c r="K884" s="544"/>
      <c r="L884" s="544" t="s">
        <v>67</v>
      </c>
      <c r="M884" s="544"/>
      <c r="N884" s="3">
        <f>OBRA!R882</f>
        <v>0</v>
      </c>
      <c r="O884" s="532"/>
      <c r="P884" s="4">
        <f>OBRA!S882</f>
        <v>0</v>
      </c>
      <c r="Q884" s="1045">
        <f t="shared" si="70"/>
        <v>0</v>
      </c>
      <c r="R884" s="1762" t="s">
        <v>67</v>
      </c>
      <c r="S884" s="6">
        <f>OBRA!T882</f>
        <v>0</v>
      </c>
      <c r="T884" s="1156">
        <f>OBRA!W882</f>
        <v>0</v>
      </c>
      <c r="U884" s="5">
        <f>OBRA!U882</f>
        <v>0</v>
      </c>
      <c r="V884" s="11">
        <f>OBRA!V882</f>
        <v>0</v>
      </c>
      <c r="W884" s="1037"/>
      <c r="X884" s="1041">
        <f>OBRA!AT882+OBRA!AU882</f>
        <v>0</v>
      </c>
      <c r="Y884" s="1039"/>
      <c r="Z884" s="146">
        <f>OBRA!X882</f>
        <v>0</v>
      </c>
      <c r="AA884" s="146"/>
      <c r="AB884" s="148">
        <f t="shared" si="71"/>
        <v>0</v>
      </c>
      <c r="AC884" s="163"/>
      <c r="AD884" s="1193"/>
      <c r="AE884" s="554">
        <f>OBRA!Y882</f>
        <v>0</v>
      </c>
      <c r="AF884" s="161"/>
      <c r="AG884" s="511"/>
      <c r="AH884" s="625" t="e">
        <f t="shared" si="72"/>
        <v>#DIV/0!</v>
      </c>
      <c r="AI884" s="511"/>
      <c r="AJ884" s="511"/>
      <c r="AK884" s="1994"/>
      <c r="AL884" s="626"/>
      <c r="AM884" s="1546"/>
      <c r="AN884" s="565"/>
      <c r="AO884" s="565"/>
      <c r="AP884" s="565"/>
      <c r="AQ884" s="511"/>
      <c r="AR884" s="511"/>
      <c r="AS884" s="511"/>
      <c r="AT884" s="2027"/>
      <c r="AU884" s="2025"/>
      <c r="AV884" s="2025"/>
      <c r="AW884" s="2025"/>
      <c r="AX884" s="2025"/>
      <c r="AY884" s="2025"/>
      <c r="AZ884" s="2025"/>
      <c r="BA884" s="2025"/>
      <c r="BB884" s="2026"/>
      <c r="BC884" s="2026"/>
      <c r="BD884" s="2026"/>
      <c r="BE884" s="2026"/>
      <c r="BF884" s="2026"/>
      <c r="BG884" s="2026"/>
      <c r="BH884" s="2028"/>
      <c r="BI884" s="2"/>
      <c r="BJ884" s="12"/>
    </row>
    <row r="885" spans="1:62" ht="15" hidden="1" customHeight="1">
      <c r="A885" s="16">
        <f>OBRA!K883</f>
        <v>2025</v>
      </c>
      <c r="B885" s="781" t="s">
        <v>6558</v>
      </c>
      <c r="C885" s="781"/>
      <c r="D885" s="24"/>
      <c r="E885" s="2">
        <f>OBRA!N883</f>
        <v>0</v>
      </c>
      <c r="F885" s="512"/>
      <c r="G885" s="2" t="s">
        <v>2209</v>
      </c>
      <c r="H885" s="12" t="str">
        <f>OBRA!O883</f>
        <v>GMJ 006C OP/2025</v>
      </c>
      <c r="I885" s="2" t="str">
        <f>OBRA!P883</f>
        <v>CONTRATO</v>
      </c>
      <c r="J885" s="3">
        <f>OBRA!Q883</f>
        <v>0</v>
      </c>
      <c r="K885" s="544"/>
      <c r="L885" s="544" t="s">
        <v>67</v>
      </c>
      <c r="M885" s="544"/>
      <c r="N885" s="3">
        <f>OBRA!R883</f>
        <v>0</v>
      </c>
      <c r="O885" s="532"/>
      <c r="P885" s="4">
        <f>OBRA!S883</f>
        <v>0</v>
      </c>
      <c r="Q885" s="1045">
        <f t="shared" si="70"/>
        <v>0</v>
      </c>
      <c r="R885" s="1762" t="s">
        <v>67</v>
      </c>
      <c r="S885" s="6">
        <f>OBRA!T883</f>
        <v>0</v>
      </c>
      <c r="T885" s="1156">
        <f>OBRA!W883</f>
        <v>0</v>
      </c>
      <c r="U885" s="5">
        <f>OBRA!U883</f>
        <v>0</v>
      </c>
      <c r="V885" s="11">
        <f>OBRA!V883</f>
        <v>0</v>
      </c>
      <c r="W885" s="1037"/>
      <c r="X885" s="1041">
        <f>OBRA!AT883+OBRA!AU883</f>
        <v>0</v>
      </c>
      <c r="Y885" s="1039"/>
      <c r="Z885" s="146">
        <f>OBRA!X883</f>
        <v>0</v>
      </c>
      <c r="AA885" s="146"/>
      <c r="AB885" s="148">
        <f t="shared" si="71"/>
        <v>0</v>
      </c>
      <c r="AC885" s="163"/>
      <c r="AD885" s="1193"/>
      <c r="AE885" s="554">
        <f>OBRA!Y883</f>
        <v>0</v>
      </c>
      <c r="AF885" s="161"/>
      <c r="AG885" s="511"/>
      <c r="AH885" s="625" t="e">
        <f t="shared" si="72"/>
        <v>#DIV/0!</v>
      </c>
      <c r="AI885" s="511"/>
      <c r="AJ885" s="511"/>
      <c r="AK885" s="1994"/>
      <c r="AL885" s="626"/>
      <c r="AM885" s="1546"/>
      <c r="AN885" s="565"/>
      <c r="AO885" s="565"/>
      <c r="AP885" s="565"/>
      <c r="AQ885" s="511"/>
      <c r="AR885" s="511"/>
      <c r="AS885" s="511"/>
      <c r="AT885" s="2027"/>
      <c r="AU885" s="2025"/>
      <c r="AV885" s="2025"/>
      <c r="AW885" s="2025"/>
      <c r="AX885" s="2025"/>
      <c r="AY885" s="2025"/>
      <c r="AZ885" s="2025"/>
      <c r="BA885" s="2025"/>
      <c r="BB885" s="2026"/>
      <c r="BC885" s="2026"/>
      <c r="BD885" s="2026"/>
      <c r="BE885" s="2026"/>
      <c r="BF885" s="2026"/>
      <c r="BG885" s="2026"/>
      <c r="BH885" s="2028"/>
      <c r="BI885" s="2"/>
      <c r="BJ885" s="12"/>
    </row>
    <row r="886" spans="1:62" ht="15" hidden="1" customHeight="1">
      <c r="A886" s="16">
        <f>OBRA!K884</f>
        <v>2025</v>
      </c>
      <c r="B886" s="781" t="s">
        <v>6558</v>
      </c>
      <c r="C886" s="781"/>
      <c r="D886" s="24"/>
      <c r="E886" s="2">
        <f>OBRA!N884</f>
        <v>0</v>
      </c>
      <c r="F886" s="512"/>
      <c r="G886" s="2" t="s">
        <v>2209</v>
      </c>
      <c r="H886" s="12" t="str">
        <f>OBRA!O884</f>
        <v>GMJ 007C OP/2025</v>
      </c>
      <c r="I886" s="2" t="str">
        <f>OBRA!P884</f>
        <v>CONTRATO</v>
      </c>
      <c r="J886" s="3">
        <f>OBRA!Q884</f>
        <v>0</v>
      </c>
      <c r="K886" s="544"/>
      <c r="L886" s="544" t="s">
        <v>67</v>
      </c>
      <c r="M886" s="544"/>
      <c r="N886" s="3">
        <f>OBRA!R884</f>
        <v>0</v>
      </c>
      <c r="O886" s="532"/>
      <c r="P886" s="4">
        <f>OBRA!S884</f>
        <v>0</v>
      </c>
      <c r="Q886" s="1045">
        <f t="shared" si="70"/>
        <v>0</v>
      </c>
      <c r="R886" s="1762" t="s">
        <v>67</v>
      </c>
      <c r="S886" s="6">
        <f>OBRA!T884</f>
        <v>0</v>
      </c>
      <c r="T886" s="1156">
        <f>OBRA!W884</f>
        <v>0</v>
      </c>
      <c r="U886" s="5">
        <f>OBRA!U884</f>
        <v>0</v>
      </c>
      <c r="V886" s="11">
        <f>OBRA!V884</f>
        <v>0</v>
      </c>
      <c r="W886" s="1037"/>
      <c r="X886" s="1041">
        <f>OBRA!AT884+OBRA!AU884</f>
        <v>0</v>
      </c>
      <c r="Y886" s="1039"/>
      <c r="Z886" s="146">
        <f>OBRA!X884</f>
        <v>0</v>
      </c>
      <c r="AA886" s="146"/>
      <c r="AB886" s="148">
        <f t="shared" si="71"/>
        <v>0</v>
      </c>
      <c r="AC886" s="163"/>
      <c r="AD886" s="1193"/>
      <c r="AE886" s="554">
        <f>OBRA!Y884</f>
        <v>0</v>
      </c>
      <c r="AF886" s="161"/>
      <c r="AG886" s="511"/>
      <c r="AH886" s="625" t="e">
        <f t="shared" si="72"/>
        <v>#DIV/0!</v>
      </c>
      <c r="AI886" s="511"/>
      <c r="AJ886" s="511"/>
      <c r="AK886" s="1994"/>
      <c r="AL886" s="626"/>
      <c r="AM886" s="1546"/>
      <c r="AN886" s="565"/>
      <c r="AO886" s="565"/>
      <c r="AP886" s="565"/>
      <c r="AQ886" s="511"/>
      <c r="AR886" s="511"/>
      <c r="AS886" s="511"/>
      <c r="AT886" s="2027"/>
      <c r="AU886" s="2025"/>
      <c r="AV886" s="2025"/>
      <c r="AW886" s="2025"/>
      <c r="AX886" s="2025"/>
      <c r="AY886" s="2025"/>
      <c r="AZ886" s="2025"/>
      <c r="BA886" s="2025"/>
      <c r="BB886" s="2026"/>
      <c r="BC886" s="2026"/>
      <c r="BD886" s="2026"/>
      <c r="BE886" s="2026"/>
      <c r="BF886" s="2026"/>
      <c r="BG886" s="2026"/>
      <c r="BH886" s="2028"/>
      <c r="BI886" s="2"/>
      <c r="BJ886" s="12"/>
    </row>
    <row r="887" spans="1:62" ht="15" hidden="1" customHeight="1">
      <c r="A887" s="16">
        <f>OBRA!K885</f>
        <v>2025</v>
      </c>
      <c r="B887" s="781" t="s">
        <v>6558</v>
      </c>
      <c r="C887" s="781"/>
      <c r="D887" s="24"/>
      <c r="E887" s="2">
        <f>OBRA!N885</f>
        <v>0</v>
      </c>
      <c r="F887" s="512"/>
      <c r="G887" s="2" t="s">
        <v>2209</v>
      </c>
      <c r="H887" s="12" t="str">
        <f>OBRA!O885</f>
        <v>GMJ 008C OP/2025</v>
      </c>
      <c r="I887" s="2" t="str">
        <f>OBRA!P885</f>
        <v>CONTRATO</v>
      </c>
      <c r="J887" s="3">
        <f>OBRA!Q885</f>
        <v>0</v>
      </c>
      <c r="K887" s="544"/>
      <c r="L887" s="544" t="s">
        <v>67</v>
      </c>
      <c r="M887" s="544"/>
      <c r="N887" s="3">
        <f>OBRA!R885</f>
        <v>0</v>
      </c>
      <c r="O887" s="532"/>
      <c r="P887" s="4">
        <f>OBRA!S885</f>
        <v>0</v>
      </c>
      <c r="Q887" s="1045">
        <f t="shared" si="70"/>
        <v>0</v>
      </c>
      <c r="R887" s="1762" t="s">
        <v>67</v>
      </c>
      <c r="S887" s="6">
        <f>OBRA!T885</f>
        <v>0</v>
      </c>
      <c r="T887" s="1156">
        <f>OBRA!W885</f>
        <v>0</v>
      </c>
      <c r="U887" s="5">
        <f>OBRA!U885</f>
        <v>0</v>
      </c>
      <c r="V887" s="11">
        <f>OBRA!V885</f>
        <v>0</v>
      </c>
      <c r="W887" s="1037"/>
      <c r="X887" s="1041">
        <f>OBRA!AT885+OBRA!AU885</f>
        <v>0</v>
      </c>
      <c r="Y887" s="1039"/>
      <c r="Z887" s="146">
        <f>OBRA!X885</f>
        <v>0</v>
      </c>
      <c r="AA887" s="146"/>
      <c r="AB887" s="148">
        <f t="shared" si="71"/>
        <v>0</v>
      </c>
      <c r="AC887" s="163"/>
      <c r="AD887" s="1193"/>
      <c r="AE887" s="554">
        <f>OBRA!Y885</f>
        <v>0</v>
      </c>
      <c r="AF887" s="161"/>
      <c r="AG887" s="511"/>
      <c r="AH887" s="625" t="e">
        <f t="shared" si="72"/>
        <v>#DIV/0!</v>
      </c>
      <c r="AI887" s="511"/>
      <c r="AJ887" s="511"/>
      <c r="AK887" s="1994"/>
      <c r="AL887" s="626"/>
      <c r="AM887" s="1546"/>
      <c r="AN887" s="565"/>
      <c r="AO887" s="565"/>
      <c r="AP887" s="565"/>
      <c r="AQ887" s="511"/>
      <c r="AR887" s="511"/>
      <c r="AS887" s="511"/>
      <c r="AT887" s="2027"/>
      <c r="AU887" s="2025"/>
      <c r="AV887" s="2025"/>
      <c r="AW887" s="2025"/>
      <c r="AX887" s="2025"/>
      <c r="AY887" s="2025"/>
      <c r="AZ887" s="2025"/>
      <c r="BA887" s="2025"/>
      <c r="BB887" s="2026"/>
      <c r="BC887" s="2026"/>
      <c r="BD887" s="2026"/>
      <c r="BE887" s="2026"/>
      <c r="BF887" s="2026"/>
      <c r="BG887" s="2026"/>
      <c r="BH887" s="2028"/>
      <c r="BI887" s="2"/>
      <c r="BJ887" s="12"/>
    </row>
    <row r="888" spans="1:62" ht="15" hidden="1" customHeight="1">
      <c r="A888" s="16">
        <f>OBRA!K886</f>
        <v>2025</v>
      </c>
      <c r="B888" s="781" t="s">
        <v>6558</v>
      </c>
      <c r="C888" s="781"/>
      <c r="D888" s="24"/>
      <c r="E888" s="2">
        <f>OBRA!N886</f>
        <v>0</v>
      </c>
      <c r="F888" s="512"/>
      <c r="G888" s="2" t="s">
        <v>2209</v>
      </c>
      <c r="H888" s="12" t="str">
        <f>OBRA!O886</f>
        <v>GMJ 009C OP/2025</v>
      </c>
      <c r="I888" s="2" t="str">
        <f>OBRA!P886</f>
        <v>CONTRATO</v>
      </c>
      <c r="J888" s="3">
        <f>OBRA!Q886</f>
        <v>0</v>
      </c>
      <c r="K888" s="544"/>
      <c r="L888" s="544" t="s">
        <v>67</v>
      </c>
      <c r="M888" s="544"/>
      <c r="N888" s="3">
        <f>OBRA!R886</f>
        <v>0</v>
      </c>
      <c r="O888" s="532"/>
      <c r="P888" s="4">
        <f>OBRA!S886</f>
        <v>0</v>
      </c>
      <c r="Q888" s="1045">
        <f t="shared" si="70"/>
        <v>0</v>
      </c>
      <c r="R888" s="1762" t="s">
        <v>67</v>
      </c>
      <c r="S888" s="6">
        <f>OBRA!T886</f>
        <v>0</v>
      </c>
      <c r="T888" s="1156">
        <f>OBRA!W886</f>
        <v>0</v>
      </c>
      <c r="U888" s="5">
        <f>OBRA!U886</f>
        <v>0</v>
      </c>
      <c r="V888" s="11">
        <f>OBRA!V886</f>
        <v>0</v>
      </c>
      <c r="W888" s="1037"/>
      <c r="X888" s="1041">
        <f>OBRA!AT886+OBRA!AU886</f>
        <v>0</v>
      </c>
      <c r="Y888" s="1039"/>
      <c r="Z888" s="146">
        <f>OBRA!X886</f>
        <v>0</v>
      </c>
      <c r="AA888" s="146"/>
      <c r="AB888" s="148">
        <f t="shared" si="71"/>
        <v>0</v>
      </c>
      <c r="AC888" s="163"/>
      <c r="AD888" s="1193"/>
      <c r="AE888" s="554">
        <f>OBRA!Y886</f>
        <v>0</v>
      </c>
      <c r="AF888" s="161"/>
      <c r="AG888" s="511"/>
      <c r="AH888" s="625" t="e">
        <f t="shared" si="72"/>
        <v>#DIV/0!</v>
      </c>
      <c r="AI888" s="511"/>
      <c r="AJ888" s="511"/>
      <c r="AK888" s="1994"/>
      <c r="AL888" s="626"/>
      <c r="AM888" s="1546"/>
      <c r="AN888" s="565"/>
      <c r="AO888" s="565"/>
      <c r="AP888" s="565"/>
      <c r="AQ888" s="511"/>
      <c r="AR888" s="511"/>
      <c r="AS888" s="511"/>
      <c r="AT888" s="2027"/>
      <c r="AU888" s="2025"/>
      <c r="AV888" s="2025"/>
      <c r="AW888" s="2025"/>
      <c r="AX888" s="2025"/>
      <c r="AY888" s="2025"/>
      <c r="AZ888" s="2025"/>
      <c r="BA888" s="2025"/>
      <c r="BB888" s="2026"/>
      <c r="BC888" s="2026"/>
      <c r="BD888" s="2026"/>
      <c r="BE888" s="2026"/>
      <c r="BF888" s="2026"/>
      <c r="BG888" s="2026"/>
      <c r="BH888" s="2028"/>
      <c r="BI888" s="2"/>
      <c r="BJ888" s="12"/>
    </row>
    <row r="889" spans="1:62" ht="15" hidden="1" customHeight="1">
      <c r="A889" s="16">
        <f>OBRA!K887</f>
        <v>2025</v>
      </c>
      <c r="B889" s="781" t="s">
        <v>6558</v>
      </c>
      <c r="C889" s="781"/>
      <c r="D889" s="24"/>
      <c r="E889" s="2">
        <f>OBRA!N887</f>
        <v>0</v>
      </c>
      <c r="F889" s="512"/>
      <c r="G889" s="2" t="s">
        <v>2209</v>
      </c>
      <c r="H889" s="12" t="str">
        <f>OBRA!O887</f>
        <v>GMJ 010C OP/2025</v>
      </c>
      <c r="I889" s="2" t="str">
        <f>OBRA!P887</f>
        <v>CONTRATO</v>
      </c>
      <c r="J889" s="3">
        <f>OBRA!Q887</f>
        <v>0</v>
      </c>
      <c r="K889" s="544"/>
      <c r="L889" s="544" t="s">
        <v>67</v>
      </c>
      <c r="M889" s="544"/>
      <c r="N889" s="3">
        <f>OBRA!R887</f>
        <v>0</v>
      </c>
      <c r="O889" s="532"/>
      <c r="P889" s="4">
        <f>OBRA!S887</f>
        <v>0</v>
      </c>
      <c r="Q889" s="1045">
        <f t="shared" si="70"/>
        <v>0</v>
      </c>
      <c r="R889" s="1762" t="s">
        <v>67</v>
      </c>
      <c r="S889" s="6">
        <f>OBRA!T887</f>
        <v>0</v>
      </c>
      <c r="T889" s="1156">
        <f>OBRA!W887</f>
        <v>0</v>
      </c>
      <c r="U889" s="5">
        <f>OBRA!U887</f>
        <v>0</v>
      </c>
      <c r="V889" s="11">
        <f>OBRA!V887</f>
        <v>0</v>
      </c>
      <c r="W889" s="1037"/>
      <c r="X889" s="1041">
        <f>OBRA!AT887+OBRA!AU887</f>
        <v>0</v>
      </c>
      <c r="Y889" s="1039"/>
      <c r="Z889" s="146">
        <f>OBRA!X887</f>
        <v>0</v>
      </c>
      <c r="AA889" s="146"/>
      <c r="AB889" s="148">
        <f t="shared" si="71"/>
        <v>0</v>
      </c>
      <c r="AC889" s="163"/>
      <c r="AD889" s="1193"/>
      <c r="AE889" s="554">
        <f>OBRA!Y887</f>
        <v>0</v>
      </c>
      <c r="AF889" s="161"/>
      <c r="AG889" s="511"/>
      <c r="AH889" s="625" t="e">
        <f t="shared" si="72"/>
        <v>#DIV/0!</v>
      </c>
      <c r="AI889" s="511"/>
      <c r="AJ889" s="511"/>
      <c r="AK889" s="1994"/>
      <c r="AL889" s="626"/>
      <c r="AM889" s="1546"/>
      <c r="AN889" s="565"/>
      <c r="AO889" s="565"/>
      <c r="AP889" s="565"/>
      <c r="AQ889" s="511"/>
      <c r="AR889" s="511"/>
      <c r="AS889" s="511"/>
      <c r="AT889" s="2027"/>
      <c r="AU889" s="2025"/>
      <c r="AV889" s="2025"/>
      <c r="AW889" s="2025"/>
      <c r="AX889" s="2025"/>
      <c r="AY889" s="2025"/>
      <c r="AZ889" s="2025"/>
      <c r="BA889" s="2025"/>
      <c r="BB889" s="2026"/>
      <c r="BC889" s="2026"/>
      <c r="BD889" s="2026"/>
      <c r="BE889" s="2026"/>
      <c r="BF889" s="2026"/>
      <c r="BG889" s="2026"/>
      <c r="BH889" s="2028"/>
      <c r="BI889" s="2"/>
      <c r="BJ889" s="12"/>
    </row>
    <row r="890" spans="1:62" ht="15" hidden="1" customHeight="1">
      <c r="A890" s="16">
        <f>OBRA!K888</f>
        <v>0</v>
      </c>
      <c r="B890" s="781" t="s">
        <v>6558</v>
      </c>
      <c r="C890" s="781"/>
      <c r="D890" s="24"/>
      <c r="E890" s="2">
        <f>OBRA!N888</f>
        <v>0</v>
      </c>
      <c r="F890" s="512"/>
      <c r="G890" s="1718"/>
      <c r="H890" s="12">
        <f>OBRA!O888</f>
        <v>0</v>
      </c>
      <c r="I890" s="2">
        <f>OBRA!P888</f>
        <v>0</v>
      </c>
      <c r="J890" s="3">
        <f>OBRA!Q888</f>
        <v>0</v>
      </c>
      <c r="K890" s="544"/>
      <c r="L890" s="544"/>
      <c r="M890" s="544"/>
      <c r="N890" s="3">
        <f>OBRA!R888</f>
        <v>0</v>
      </c>
      <c r="O890" s="532"/>
      <c r="P890" s="4">
        <f>OBRA!S888</f>
        <v>0</v>
      </c>
      <c r="Q890" s="1045">
        <f t="shared" si="70"/>
        <v>0</v>
      </c>
      <c r="R890" s="1762" t="s">
        <v>67</v>
      </c>
      <c r="S890" s="6">
        <f>OBRA!T888</f>
        <v>0</v>
      </c>
      <c r="T890" s="1156">
        <f>OBRA!W888</f>
        <v>0</v>
      </c>
      <c r="U890" s="5">
        <f>OBRA!U888</f>
        <v>0</v>
      </c>
      <c r="V890" s="11">
        <f>OBRA!V888</f>
        <v>0</v>
      </c>
      <c r="W890" s="1037"/>
      <c r="X890" s="1041">
        <f>OBRA!AT888+OBRA!AU888</f>
        <v>0</v>
      </c>
      <c r="Y890" s="1039"/>
      <c r="Z890" s="146">
        <f>OBRA!X888</f>
        <v>0</v>
      </c>
      <c r="AA890" s="146"/>
      <c r="AB890" s="148">
        <f t="shared" si="71"/>
        <v>0</v>
      </c>
      <c r="AC890" s="163"/>
      <c r="AD890" s="1193"/>
      <c r="AE890" s="554">
        <f>OBRA!Y888</f>
        <v>0</v>
      </c>
      <c r="AF890" s="161"/>
      <c r="AG890" s="511"/>
      <c r="AH890" s="625" t="e">
        <f t="shared" si="72"/>
        <v>#DIV/0!</v>
      </c>
      <c r="AI890" s="511"/>
      <c r="AJ890" s="507"/>
      <c r="AK890" s="507"/>
      <c r="AL890" s="626"/>
      <c r="AM890" s="1546"/>
      <c r="AN890" s="565"/>
      <c r="AO890" s="565"/>
      <c r="AP890" s="565"/>
      <c r="AQ890" s="507"/>
      <c r="AR890" s="507"/>
      <c r="AS890" s="512"/>
      <c r="AT890" s="1867"/>
      <c r="AU890" s="1867"/>
      <c r="AV890" s="1867"/>
      <c r="AW890" s="1867"/>
      <c r="AX890" s="1867"/>
      <c r="AY890" s="1867"/>
      <c r="AZ890" s="1867"/>
      <c r="BA890" s="1867"/>
      <c r="BB890" s="163"/>
      <c r="BC890" s="163"/>
      <c r="BD890" s="163"/>
      <c r="BE890" s="163"/>
      <c r="BF890" s="163"/>
      <c r="BG890" s="163"/>
      <c r="BH890" s="163"/>
      <c r="BI890" s="33"/>
      <c r="BJ890" s="12"/>
    </row>
    <row r="891" spans="1:62" ht="15" hidden="1" customHeight="1">
      <c r="A891" s="16">
        <f>OBRA!K889</f>
        <v>0</v>
      </c>
      <c r="B891" s="781" t="s">
        <v>6558</v>
      </c>
      <c r="C891" s="781"/>
      <c r="D891" s="24"/>
      <c r="E891" s="2">
        <f>OBRA!N889</f>
        <v>0</v>
      </c>
      <c r="F891" s="512"/>
      <c r="G891" s="1718"/>
      <c r="H891" s="12">
        <f>OBRA!O889</f>
        <v>0</v>
      </c>
      <c r="I891" s="2">
        <f>OBRA!P889</f>
        <v>0</v>
      </c>
      <c r="J891" s="3">
        <f>OBRA!Q889</f>
        <v>0</v>
      </c>
      <c r="K891" s="544"/>
      <c r="L891" s="544"/>
      <c r="M891" s="544"/>
      <c r="N891" s="3">
        <f>OBRA!R889</f>
        <v>0</v>
      </c>
      <c r="O891" s="532"/>
      <c r="P891" s="4">
        <f>OBRA!S889</f>
        <v>0</v>
      </c>
      <c r="Q891" s="1045">
        <f t="shared" si="70"/>
        <v>0</v>
      </c>
      <c r="R891" s="1762" t="s">
        <v>67</v>
      </c>
      <c r="S891" s="6">
        <f>OBRA!T889</f>
        <v>0</v>
      </c>
      <c r="T891" s="1156">
        <f>OBRA!W889</f>
        <v>0</v>
      </c>
      <c r="U891" s="5">
        <f>OBRA!U889</f>
        <v>0</v>
      </c>
      <c r="V891" s="11">
        <f>OBRA!V889</f>
        <v>0</v>
      </c>
      <c r="W891" s="1037"/>
      <c r="X891" s="1041">
        <f>OBRA!AT889+OBRA!AU889</f>
        <v>0</v>
      </c>
      <c r="Y891" s="1039"/>
      <c r="Z891" s="146">
        <f>OBRA!X889</f>
        <v>0</v>
      </c>
      <c r="AA891" s="146"/>
      <c r="AB891" s="148">
        <f t="shared" si="71"/>
        <v>0</v>
      </c>
      <c r="AC891" s="163"/>
      <c r="AD891" s="1193"/>
      <c r="AE891" s="554">
        <f>OBRA!Y889</f>
        <v>0</v>
      </c>
      <c r="AF891" s="161"/>
      <c r="AG891" s="511"/>
      <c r="AH891" s="625" t="e">
        <f t="shared" si="72"/>
        <v>#DIV/0!</v>
      </c>
      <c r="AI891" s="511"/>
      <c r="AJ891" s="507"/>
      <c r="AK891" s="507"/>
      <c r="AL891" s="626"/>
      <c r="AM891" s="1546"/>
      <c r="AN891" s="565"/>
      <c r="AO891" s="565"/>
      <c r="AP891" s="565"/>
      <c r="AQ891" s="507"/>
      <c r="AR891" s="507"/>
      <c r="AS891" s="512"/>
      <c r="AT891" s="1852"/>
      <c r="AU891" s="1852"/>
      <c r="AV891" s="1852"/>
      <c r="AW891" s="1852"/>
      <c r="AX891" s="1852"/>
      <c r="AY891" s="1852"/>
      <c r="AZ891" s="1852"/>
      <c r="BA891" s="1852"/>
      <c r="BB891" s="507"/>
      <c r="BC891" s="507"/>
      <c r="BD891" s="507"/>
      <c r="BE891" s="507"/>
      <c r="BF891" s="507"/>
      <c r="BG891" s="507"/>
      <c r="BH891" s="507"/>
      <c r="BI891" s="33"/>
      <c r="BJ891" s="12"/>
    </row>
    <row r="892" spans="1:62" ht="15" hidden="1" customHeight="1">
      <c r="A892" s="16">
        <f>OBRA!K890</f>
        <v>0</v>
      </c>
      <c r="B892" s="781" t="s">
        <v>6558</v>
      </c>
      <c r="C892" s="781"/>
      <c r="D892" s="24"/>
      <c r="E892" s="2">
        <f>OBRA!N890</f>
        <v>0</v>
      </c>
      <c r="F892" s="512"/>
      <c r="G892" s="1718"/>
      <c r="H892" s="12">
        <f>OBRA!O890</f>
        <v>0</v>
      </c>
      <c r="I892" s="2">
        <f>OBRA!P890</f>
        <v>0</v>
      </c>
      <c r="J892" s="3">
        <f>OBRA!Q890</f>
        <v>0</v>
      </c>
      <c r="K892" s="544"/>
      <c r="L892" s="544"/>
      <c r="M892" s="544"/>
      <c r="N892" s="3">
        <f>OBRA!R890</f>
        <v>0</v>
      </c>
      <c r="O892" s="532"/>
      <c r="P892" s="4">
        <f>OBRA!S890</f>
        <v>0</v>
      </c>
      <c r="Q892" s="1045">
        <f t="shared" si="70"/>
        <v>0</v>
      </c>
      <c r="R892" s="1762" t="s">
        <v>67</v>
      </c>
      <c r="S892" s="6">
        <f>OBRA!T890</f>
        <v>0</v>
      </c>
      <c r="T892" s="1156">
        <f>OBRA!W890</f>
        <v>0</v>
      </c>
      <c r="U892" s="5">
        <f>OBRA!U890</f>
        <v>0</v>
      </c>
      <c r="V892" s="11">
        <f>OBRA!V890</f>
        <v>0</v>
      </c>
      <c r="W892" s="1037"/>
      <c r="X892" s="1041">
        <f>OBRA!AT890+OBRA!AU890</f>
        <v>0</v>
      </c>
      <c r="Y892" s="1039"/>
      <c r="Z892" s="146">
        <f>OBRA!X890</f>
        <v>0</v>
      </c>
      <c r="AA892" s="146"/>
      <c r="AB892" s="148">
        <f t="shared" si="71"/>
        <v>0</v>
      </c>
      <c r="AC892" s="163"/>
      <c r="AD892" s="1193"/>
      <c r="AE892" s="554">
        <f>OBRA!Y890</f>
        <v>0</v>
      </c>
      <c r="AF892" s="161"/>
      <c r="AG892" s="511"/>
      <c r="AH892" s="625" t="e">
        <f t="shared" si="72"/>
        <v>#DIV/0!</v>
      </c>
      <c r="AI892" s="511"/>
      <c r="AJ892" s="507"/>
      <c r="AK892" s="507"/>
      <c r="AL892" s="626"/>
      <c r="AM892" s="1546"/>
      <c r="AN892" s="565"/>
      <c r="AO892" s="565"/>
      <c r="AP892" s="565"/>
      <c r="AQ892" s="507"/>
      <c r="AR892" s="507"/>
      <c r="AS892" s="512"/>
      <c r="AT892" s="1852"/>
      <c r="AU892" s="1852"/>
      <c r="AV892" s="1852"/>
      <c r="AW892" s="1852"/>
      <c r="AX892" s="1852"/>
      <c r="AY892" s="1852"/>
      <c r="AZ892" s="1852"/>
      <c r="BA892" s="1852"/>
      <c r="BB892" s="507"/>
      <c r="BC892" s="507"/>
      <c r="BD892" s="507"/>
      <c r="BE892" s="507"/>
      <c r="BF892" s="507"/>
      <c r="BG892" s="507"/>
      <c r="BH892" s="507"/>
      <c r="BI892" s="33"/>
      <c r="BJ892" s="12"/>
    </row>
    <row r="893" spans="1:62" ht="15" hidden="1" customHeight="1">
      <c r="A893" s="16">
        <f>OBRA!K891</f>
        <v>0</v>
      </c>
      <c r="B893" s="781" t="s">
        <v>6558</v>
      </c>
      <c r="C893" s="781"/>
      <c r="D893" s="24"/>
      <c r="E893" s="2">
        <f>OBRA!N891</f>
        <v>0</v>
      </c>
      <c r="F893" s="512"/>
      <c r="G893" s="1718"/>
      <c r="H893" s="12">
        <f>OBRA!O891</f>
        <v>0</v>
      </c>
      <c r="I893" s="2">
        <f>OBRA!P891</f>
        <v>0</v>
      </c>
      <c r="J893" s="3">
        <f>OBRA!Q891</f>
        <v>0</v>
      </c>
      <c r="K893" s="544"/>
      <c r="L893" s="544"/>
      <c r="M893" s="544"/>
      <c r="N893" s="3">
        <f>OBRA!R891</f>
        <v>0</v>
      </c>
      <c r="O893" s="532"/>
      <c r="P893" s="4">
        <f>OBRA!S891</f>
        <v>0</v>
      </c>
      <c r="Q893" s="1045">
        <f t="shared" si="70"/>
        <v>0</v>
      </c>
      <c r="R893" s="1762" t="s">
        <v>67</v>
      </c>
      <c r="S893" s="6">
        <f>OBRA!T891</f>
        <v>0</v>
      </c>
      <c r="T893" s="1156">
        <f>OBRA!W891</f>
        <v>0</v>
      </c>
      <c r="U893" s="5">
        <f>OBRA!U891</f>
        <v>0</v>
      </c>
      <c r="V893" s="11">
        <f>OBRA!V891</f>
        <v>0</v>
      </c>
      <c r="W893" s="1037"/>
      <c r="X893" s="1041">
        <f>OBRA!AT891+OBRA!AU891</f>
        <v>0</v>
      </c>
      <c r="Y893" s="1039"/>
      <c r="Z893" s="146">
        <f>OBRA!X891</f>
        <v>0</v>
      </c>
      <c r="AA893" s="146"/>
      <c r="AB893" s="148">
        <f t="shared" si="71"/>
        <v>0</v>
      </c>
      <c r="AC893" s="163"/>
      <c r="AD893" s="1193"/>
      <c r="AE893" s="554">
        <f>OBRA!Y891</f>
        <v>0</v>
      </c>
      <c r="AF893" s="161"/>
      <c r="AG893" s="511"/>
      <c r="AH893" s="625" t="e">
        <f t="shared" si="72"/>
        <v>#DIV/0!</v>
      </c>
      <c r="AI893" s="511"/>
      <c r="AJ893" s="507"/>
      <c r="AK893" s="507"/>
      <c r="AL893" s="626"/>
      <c r="AM893" s="1546"/>
      <c r="AN893" s="565"/>
      <c r="AO893" s="565"/>
      <c r="AP893" s="565"/>
      <c r="AQ893" s="507"/>
      <c r="AR893" s="507"/>
      <c r="AS893" s="512"/>
      <c r="AT893" s="1852"/>
      <c r="AU893" s="1852"/>
      <c r="AV893" s="1852"/>
      <c r="AW893" s="1852"/>
      <c r="AX893" s="1852"/>
      <c r="AY893" s="1852"/>
      <c r="AZ893" s="1852"/>
      <c r="BA893" s="1852"/>
      <c r="BB893" s="507"/>
      <c r="BC893" s="507"/>
      <c r="BD893" s="507"/>
      <c r="BE893" s="507"/>
      <c r="BF893" s="507"/>
      <c r="BG893" s="507"/>
      <c r="BH893" s="507"/>
      <c r="BI893" s="33"/>
      <c r="BJ893" s="12"/>
    </row>
    <row r="894" spans="1:62" ht="15" hidden="1" customHeight="1">
      <c r="A894" s="16">
        <f>OBRA!K892</f>
        <v>0</v>
      </c>
      <c r="B894" s="781" t="s">
        <v>6558</v>
      </c>
      <c r="C894" s="781"/>
      <c r="D894" s="24"/>
      <c r="E894" s="2">
        <f>OBRA!N892</f>
        <v>0</v>
      </c>
      <c r="F894" s="512"/>
      <c r="G894" s="1718"/>
      <c r="H894" s="12">
        <f>OBRA!O892</f>
        <v>0</v>
      </c>
      <c r="I894" s="2">
        <f>OBRA!P892</f>
        <v>0</v>
      </c>
      <c r="J894" s="3">
        <f>OBRA!Q892</f>
        <v>0</v>
      </c>
      <c r="K894" s="544"/>
      <c r="L894" s="544"/>
      <c r="M894" s="544"/>
      <c r="N894" s="3">
        <f>OBRA!R892</f>
        <v>0</v>
      </c>
      <c r="O894" s="532"/>
      <c r="P894" s="4">
        <f>OBRA!S892</f>
        <v>0</v>
      </c>
      <c r="Q894" s="1045">
        <f t="shared" si="70"/>
        <v>0</v>
      </c>
      <c r="R894" s="1762" t="s">
        <v>67</v>
      </c>
      <c r="S894" s="6">
        <f>OBRA!T892</f>
        <v>0</v>
      </c>
      <c r="T894" s="1156">
        <f>OBRA!W892</f>
        <v>0</v>
      </c>
      <c r="U894" s="5">
        <f>OBRA!U892</f>
        <v>0</v>
      </c>
      <c r="V894" s="11">
        <f>OBRA!V892</f>
        <v>0</v>
      </c>
      <c r="W894" s="1037"/>
      <c r="X894" s="1041">
        <f>OBRA!AT892+OBRA!AU892</f>
        <v>0</v>
      </c>
      <c r="Y894" s="1039"/>
      <c r="Z894" s="146">
        <f>OBRA!X892</f>
        <v>0</v>
      </c>
      <c r="AA894" s="146"/>
      <c r="AB894" s="148">
        <f t="shared" si="71"/>
        <v>0</v>
      </c>
      <c r="AC894" s="163"/>
      <c r="AD894" s="1193"/>
      <c r="AE894" s="554">
        <f>OBRA!Y892</f>
        <v>0</v>
      </c>
      <c r="AF894" s="161"/>
      <c r="AG894" s="511"/>
      <c r="AH894" s="625" t="e">
        <f t="shared" si="72"/>
        <v>#DIV/0!</v>
      </c>
      <c r="AI894" s="511"/>
      <c r="AJ894" s="507"/>
      <c r="AK894" s="507"/>
      <c r="AL894" s="626"/>
      <c r="AM894" s="1546"/>
      <c r="AN894" s="565"/>
      <c r="AO894" s="565"/>
      <c r="AP894" s="565"/>
      <c r="AQ894" s="507"/>
      <c r="AR894" s="507"/>
      <c r="AS894" s="512"/>
      <c r="AT894" s="1852"/>
      <c r="AU894" s="1852"/>
      <c r="AV894" s="1852"/>
      <c r="AW894" s="1852"/>
      <c r="AX894" s="1852"/>
      <c r="AY894" s="1852"/>
      <c r="AZ894" s="1852"/>
      <c r="BA894" s="1852"/>
      <c r="BB894" s="507"/>
      <c r="BC894" s="507"/>
      <c r="BD894" s="507"/>
      <c r="BE894" s="507"/>
      <c r="BF894" s="507"/>
      <c r="BG894" s="507"/>
      <c r="BH894" s="507"/>
      <c r="BI894" s="33"/>
      <c r="BJ894" s="12"/>
    </row>
    <row r="895" spans="1:62" ht="15" hidden="1" customHeight="1">
      <c r="A895" s="16">
        <f>OBRA!K893</f>
        <v>0</v>
      </c>
      <c r="B895" s="781" t="s">
        <v>6558</v>
      </c>
      <c r="C895" s="781"/>
      <c r="D895" s="24"/>
      <c r="E895" s="2">
        <f>OBRA!N893</f>
        <v>0</v>
      </c>
      <c r="F895" s="512"/>
      <c r="G895" s="1718"/>
      <c r="H895" s="12">
        <f>OBRA!O893</f>
        <v>0</v>
      </c>
      <c r="I895" s="2">
        <f>OBRA!P893</f>
        <v>0</v>
      </c>
      <c r="J895" s="3">
        <f>OBRA!Q893</f>
        <v>0</v>
      </c>
      <c r="K895" s="544"/>
      <c r="L895" s="544"/>
      <c r="M895" s="544"/>
      <c r="N895" s="3">
        <f>OBRA!R893</f>
        <v>0</v>
      </c>
      <c r="O895" s="532"/>
      <c r="P895" s="4">
        <f>OBRA!S893</f>
        <v>0</v>
      </c>
      <c r="Q895" s="1045">
        <f t="shared" si="70"/>
        <v>0</v>
      </c>
      <c r="R895" s="1762" t="s">
        <v>67</v>
      </c>
      <c r="S895" s="6">
        <f>OBRA!T893</f>
        <v>0</v>
      </c>
      <c r="T895" s="1156">
        <f>OBRA!W893</f>
        <v>0</v>
      </c>
      <c r="U895" s="5">
        <f>OBRA!U893</f>
        <v>0</v>
      </c>
      <c r="V895" s="11">
        <f>OBRA!V893</f>
        <v>0</v>
      </c>
      <c r="W895" s="1037"/>
      <c r="X895" s="1041">
        <f>OBRA!AT893+OBRA!AU893</f>
        <v>0</v>
      </c>
      <c r="Y895" s="1039"/>
      <c r="Z895" s="146">
        <f>OBRA!X893</f>
        <v>0</v>
      </c>
      <c r="AA895" s="146"/>
      <c r="AB895" s="148">
        <f t="shared" si="71"/>
        <v>0</v>
      </c>
      <c r="AC895" s="163"/>
      <c r="AD895" s="1193"/>
      <c r="AE895" s="554">
        <f>OBRA!Y893</f>
        <v>0</v>
      </c>
      <c r="AF895" s="161"/>
      <c r="AG895" s="511"/>
      <c r="AH895" s="625" t="e">
        <f t="shared" si="72"/>
        <v>#DIV/0!</v>
      </c>
      <c r="AI895" s="511"/>
      <c r="AJ895" s="507"/>
      <c r="AK895" s="507"/>
      <c r="AL895" s="626"/>
      <c r="AM895" s="1546"/>
      <c r="AN895" s="565"/>
      <c r="AO895" s="565"/>
      <c r="AP895" s="565"/>
      <c r="AQ895" s="507"/>
      <c r="AR895" s="507"/>
      <c r="AS895" s="512"/>
      <c r="AT895" s="1852"/>
      <c r="AU895" s="1852"/>
      <c r="AV895" s="1852"/>
      <c r="AW895" s="1852"/>
      <c r="AX895" s="1852"/>
      <c r="AY895" s="1852"/>
      <c r="AZ895" s="1852"/>
      <c r="BA895" s="1852"/>
      <c r="BB895" s="507"/>
      <c r="BC895" s="507"/>
      <c r="BD895" s="507"/>
      <c r="BE895" s="507"/>
      <c r="BF895" s="507"/>
      <c r="BG895" s="507"/>
      <c r="BH895" s="507"/>
      <c r="BI895" s="33"/>
      <c r="BJ895" s="12"/>
    </row>
    <row r="896" spans="1:62" ht="15" hidden="1" customHeight="1">
      <c r="A896" s="16">
        <f>OBRA!K894</f>
        <v>0</v>
      </c>
      <c r="B896" s="781" t="s">
        <v>6558</v>
      </c>
      <c r="C896" s="781"/>
      <c r="D896" s="24"/>
      <c r="E896" s="2">
        <f>OBRA!N894</f>
        <v>0</v>
      </c>
      <c r="F896" s="512"/>
      <c r="G896" s="1718"/>
      <c r="H896" s="12">
        <f>OBRA!O894</f>
        <v>0</v>
      </c>
      <c r="I896" s="2">
        <f>OBRA!P894</f>
        <v>0</v>
      </c>
      <c r="J896" s="3">
        <f>OBRA!Q894</f>
        <v>0</v>
      </c>
      <c r="K896" s="544"/>
      <c r="L896" s="544"/>
      <c r="M896" s="544"/>
      <c r="N896" s="3">
        <f>OBRA!R894</f>
        <v>0</v>
      </c>
      <c r="O896" s="532"/>
      <c r="P896" s="4">
        <f>OBRA!S894</f>
        <v>0</v>
      </c>
      <c r="Q896" s="1045">
        <f t="shared" si="70"/>
        <v>0</v>
      </c>
      <c r="R896" s="1762" t="s">
        <v>67</v>
      </c>
      <c r="S896" s="6">
        <f>OBRA!T894</f>
        <v>0</v>
      </c>
      <c r="T896" s="1156">
        <f>OBRA!W894</f>
        <v>0</v>
      </c>
      <c r="U896" s="5">
        <f>OBRA!U894</f>
        <v>0</v>
      </c>
      <c r="V896" s="11">
        <f>OBRA!V894</f>
        <v>0</v>
      </c>
      <c r="W896" s="1037"/>
      <c r="X896" s="1041">
        <f>OBRA!AT894+OBRA!AU894</f>
        <v>0</v>
      </c>
      <c r="Y896" s="1039"/>
      <c r="Z896" s="146">
        <f>OBRA!X894</f>
        <v>0</v>
      </c>
      <c r="AA896" s="146"/>
      <c r="AB896" s="148">
        <f t="shared" si="71"/>
        <v>0</v>
      </c>
      <c r="AC896" s="163"/>
      <c r="AD896" s="1193"/>
      <c r="AE896" s="554">
        <f>OBRA!Y894</f>
        <v>0</v>
      </c>
      <c r="AF896" s="161"/>
      <c r="AG896" s="511"/>
      <c r="AH896" s="625" t="e">
        <f t="shared" si="72"/>
        <v>#DIV/0!</v>
      </c>
      <c r="AI896" s="511"/>
      <c r="AJ896" s="507"/>
      <c r="AK896" s="507"/>
      <c r="AL896" s="626"/>
      <c r="AM896" s="1546"/>
      <c r="AN896" s="565"/>
      <c r="AO896" s="565"/>
      <c r="AP896" s="565"/>
      <c r="AQ896" s="507"/>
      <c r="AR896" s="507"/>
      <c r="AS896" s="512"/>
      <c r="AT896" s="1852"/>
      <c r="AU896" s="1852"/>
      <c r="AV896" s="1852"/>
      <c r="AW896" s="1852"/>
      <c r="AX896" s="1852"/>
      <c r="AY896" s="1852"/>
      <c r="AZ896" s="1852"/>
      <c r="BA896" s="1852"/>
      <c r="BB896" s="507"/>
      <c r="BC896" s="507"/>
      <c r="BD896" s="507"/>
      <c r="BE896" s="507"/>
      <c r="BF896" s="507"/>
      <c r="BG896" s="507"/>
      <c r="BH896" s="507"/>
      <c r="BI896" s="33"/>
      <c r="BJ896" s="12"/>
    </row>
    <row r="897" spans="1:62" ht="15" hidden="1" customHeight="1">
      <c r="A897" s="16">
        <f>OBRA!K895</f>
        <v>0</v>
      </c>
      <c r="B897" s="781" t="s">
        <v>6558</v>
      </c>
      <c r="C897" s="781"/>
      <c r="D897" s="24"/>
      <c r="E897" s="2">
        <f>OBRA!N895</f>
        <v>0</v>
      </c>
      <c r="F897" s="512"/>
      <c r="G897" s="1718"/>
      <c r="H897" s="12">
        <f>OBRA!O895</f>
        <v>0</v>
      </c>
      <c r="I897" s="2">
        <f>OBRA!P895</f>
        <v>0</v>
      </c>
      <c r="J897" s="3">
        <f>OBRA!Q895</f>
        <v>0</v>
      </c>
      <c r="K897" s="544"/>
      <c r="L897" s="544"/>
      <c r="M897" s="544"/>
      <c r="N897" s="3">
        <f>OBRA!R895</f>
        <v>0</v>
      </c>
      <c r="O897" s="532"/>
      <c r="P897" s="4">
        <f>OBRA!S895</f>
        <v>0</v>
      </c>
      <c r="Q897" s="1045">
        <f t="shared" si="70"/>
        <v>0</v>
      </c>
      <c r="R897" s="1762" t="s">
        <v>67</v>
      </c>
      <c r="S897" s="6">
        <f>OBRA!T895</f>
        <v>0</v>
      </c>
      <c r="T897" s="1156">
        <f>OBRA!W895</f>
        <v>0</v>
      </c>
      <c r="U897" s="5">
        <f>OBRA!U895</f>
        <v>0</v>
      </c>
      <c r="V897" s="11">
        <f>OBRA!V895</f>
        <v>0</v>
      </c>
      <c r="W897" s="1037"/>
      <c r="X897" s="1041">
        <f>OBRA!AT895+OBRA!AU895</f>
        <v>0</v>
      </c>
      <c r="Y897" s="1039"/>
      <c r="Z897" s="146">
        <f>OBRA!X895</f>
        <v>0</v>
      </c>
      <c r="AA897" s="146"/>
      <c r="AB897" s="148">
        <f t="shared" si="71"/>
        <v>0</v>
      </c>
      <c r="AC897" s="163"/>
      <c r="AD897" s="1193"/>
      <c r="AE897" s="554">
        <f>OBRA!Y895</f>
        <v>0</v>
      </c>
      <c r="AF897" s="161"/>
      <c r="AG897" s="511"/>
      <c r="AH897" s="625" t="e">
        <f t="shared" si="72"/>
        <v>#DIV/0!</v>
      </c>
      <c r="AI897" s="511"/>
      <c r="AJ897" s="507"/>
      <c r="AK897" s="507"/>
      <c r="AL897" s="626"/>
      <c r="AM897" s="1546"/>
      <c r="AN897" s="565"/>
      <c r="AO897" s="565"/>
      <c r="AP897" s="565"/>
      <c r="AQ897" s="507"/>
      <c r="AR897" s="507"/>
      <c r="AS897" s="512"/>
      <c r="AT897" s="1852"/>
      <c r="AU897" s="1852"/>
      <c r="AV897" s="1852"/>
      <c r="AW897" s="1852"/>
      <c r="AX897" s="1852"/>
      <c r="AY897" s="1852"/>
      <c r="AZ897" s="1852"/>
      <c r="BA897" s="1852"/>
      <c r="BB897" s="507"/>
      <c r="BC897" s="507"/>
      <c r="BD897" s="507"/>
      <c r="BE897" s="507"/>
      <c r="BF897" s="507"/>
      <c r="BG897" s="507"/>
      <c r="BH897" s="507"/>
      <c r="BI897" s="33"/>
      <c r="BJ897" s="12"/>
    </row>
    <row r="898" spans="1:62" ht="15" hidden="1" customHeight="1">
      <c r="A898" s="16">
        <f>OBRA!K896</f>
        <v>0</v>
      </c>
      <c r="B898" s="781" t="s">
        <v>6558</v>
      </c>
      <c r="C898" s="781"/>
      <c r="D898" s="24"/>
      <c r="E898" s="2">
        <f>OBRA!N896</f>
        <v>0</v>
      </c>
      <c r="F898" s="512"/>
      <c r="G898" s="1718"/>
      <c r="H898" s="12">
        <f>OBRA!O896</f>
        <v>0</v>
      </c>
      <c r="I898" s="2">
        <f>OBRA!P896</f>
        <v>0</v>
      </c>
      <c r="J898" s="3">
        <f>OBRA!Q896</f>
        <v>0</v>
      </c>
      <c r="K898" s="544"/>
      <c r="L898" s="544"/>
      <c r="M898" s="544"/>
      <c r="N898" s="3">
        <f>OBRA!R896</f>
        <v>0</v>
      </c>
      <c r="O898" s="532"/>
      <c r="P898" s="4">
        <f>OBRA!S896</f>
        <v>0</v>
      </c>
      <c r="Q898" s="1045">
        <f t="shared" si="70"/>
        <v>0</v>
      </c>
      <c r="R898" s="1762" t="s">
        <v>67</v>
      </c>
      <c r="S898" s="6">
        <f>OBRA!T896</f>
        <v>0</v>
      </c>
      <c r="T898" s="1156">
        <f>OBRA!W896</f>
        <v>0</v>
      </c>
      <c r="U898" s="5">
        <f>OBRA!U896</f>
        <v>0</v>
      </c>
      <c r="V898" s="11">
        <f>OBRA!V896</f>
        <v>0</v>
      </c>
      <c r="W898" s="1037"/>
      <c r="X898" s="1041">
        <f>OBRA!AT896+OBRA!AU896</f>
        <v>0</v>
      </c>
      <c r="Y898" s="1039"/>
      <c r="Z898" s="146">
        <f>OBRA!X896</f>
        <v>0</v>
      </c>
      <c r="AA898" s="146"/>
      <c r="AB898" s="148">
        <f t="shared" si="71"/>
        <v>0</v>
      </c>
      <c r="AC898" s="163"/>
      <c r="AD898" s="1193"/>
      <c r="AE898" s="554">
        <f>OBRA!Y896</f>
        <v>0</v>
      </c>
      <c r="AF898" s="161"/>
      <c r="AG898" s="511"/>
      <c r="AH898" s="625" t="e">
        <f t="shared" si="72"/>
        <v>#DIV/0!</v>
      </c>
      <c r="AI898" s="511"/>
      <c r="AJ898" s="507"/>
      <c r="AK898" s="507"/>
      <c r="AL898" s="626"/>
      <c r="AM898" s="1546"/>
      <c r="AN898" s="565"/>
      <c r="AO898" s="565"/>
      <c r="AP898" s="565"/>
      <c r="AQ898" s="507"/>
      <c r="AR898" s="507"/>
      <c r="AS898" s="512"/>
      <c r="AT898" s="1852"/>
      <c r="AU898" s="1852"/>
      <c r="AV898" s="1852"/>
      <c r="AW898" s="1852"/>
      <c r="AX898" s="1852"/>
      <c r="AY898" s="1852"/>
      <c r="AZ898" s="1852"/>
      <c r="BA898" s="1852"/>
      <c r="BB898" s="507"/>
      <c r="BC898" s="507"/>
      <c r="BD898" s="507"/>
      <c r="BE898" s="507"/>
      <c r="BF898" s="507"/>
      <c r="BG898" s="507"/>
      <c r="BH898" s="507"/>
      <c r="BI898" s="33"/>
      <c r="BJ898" s="12"/>
    </row>
    <row r="899" spans="1:62" ht="15" hidden="1" customHeight="1">
      <c r="A899" s="16">
        <f>OBRA!K897</f>
        <v>0</v>
      </c>
      <c r="B899" s="781" t="s">
        <v>6558</v>
      </c>
      <c r="C899" s="781"/>
      <c r="D899" s="24"/>
      <c r="E899" s="2">
        <f>OBRA!N897</f>
        <v>0</v>
      </c>
      <c r="F899" s="512"/>
      <c r="G899" s="1718"/>
      <c r="H899" s="12">
        <f>OBRA!O897</f>
        <v>0</v>
      </c>
      <c r="I899" s="2">
        <f>OBRA!P897</f>
        <v>0</v>
      </c>
      <c r="J899" s="3">
        <f>OBRA!Q897</f>
        <v>0</v>
      </c>
      <c r="K899" s="544"/>
      <c r="L899" s="544"/>
      <c r="M899" s="544"/>
      <c r="N899" s="3">
        <f>OBRA!R897</f>
        <v>0</v>
      </c>
      <c r="O899" s="532"/>
      <c r="P899" s="4">
        <f>OBRA!S897</f>
        <v>0</v>
      </c>
      <c r="Q899" s="1045">
        <f t="shared" si="70"/>
        <v>0</v>
      </c>
      <c r="R899" s="1762" t="s">
        <v>67</v>
      </c>
      <c r="S899" s="6">
        <f>OBRA!T897</f>
        <v>0</v>
      </c>
      <c r="T899" s="1156">
        <f>OBRA!W897</f>
        <v>0</v>
      </c>
      <c r="U899" s="5">
        <f>OBRA!U897</f>
        <v>0</v>
      </c>
      <c r="V899" s="11">
        <f>OBRA!V897</f>
        <v>0</v>
      </c>
      <c r="W899" s="1037"/>
      <c r="X899" s="1041">
        <f>OBRA!AT897+OBRA!AU897</f>
        <v>0</v>
      </c>
      <c r="Y899" s="1039"/>
      <c r="Z899" s="146">
        <f>OBRA!X897</f>
        <v>0</v>
      </c>
      <c r="AA899" s="146"/>
      <c r="AB899" s="148">
        <f t="shared" si="71"/>
        <v>0</v>
      </c>
      <c r="AC899" s="163"/>
      <c r="AD899" s="1193"/>
      <c r="AE899" s="554">
        <f>OBRA!Y897</f>
        <v>0</v>
      </c>
      <c r="AF899" s="161"/>
      <c r="AG899" s="511"/>
      <c r="AH899" s="625" t="e">
        <f t="shared" si="72"/>
        <v>#DIV/0!</v>
      </c>
      <c r="AI899" s="511"/>
      <c r="AJ899" s="507"/>
      <c r="AK899" s="507"/>
      <c r="AL899" s="626"/>
      <c r="AM899" s="1546"/>
      <c r="AN899" s="565"/>
      <c r="AO899" s="565"/>
      <c r="AP899" s="565"/>
      <c r="AQ899" s="507"/>
      <c r="AR899" s="507"/>
      <c r="AS899" s="512"/>
      <c r="AT899" s="1852"/>
      <c r="AU899" s="1852"/>
      <c r="AV899" s="1852"/>
      <c r="AW899" s="1852"/>
      <c r="AX899" s="1852"/>
      <c r="AY899" s="1852"/>
      <c r="AZ899" s="1852"/>
      <c r="BA899" s="1852"/>
      <c r="BB899" s="507"/>
      <c r="BC899" s="507"/>
      <c r="BD899" s="507"/>
      <c r="BE899" s="507"/>
      <c r="BF899" s="507"/>
      <c r="BG899" s="507"/>
      <c r="BH899" s="507"/>
      <c r="BI899" s="33"/>
      <c r="BJ899" s="12"/>
    </row>
    <row r="900" spans="1:62" ht="15" hidden="1" customHeight="1">
      <c r="A900" s="16">
        <f>OBRA!K898</f>
        <v>0</v>
      </c>
      <c r="B900" s="781" t="s">
        <v>6558</v>
      </c>
      <c r="C900" s="781"/>
      <c r="D900" s="24"/>
      <c r="E900" s="2">
        <f>OBRA!N898</f>
        <v>0</v>
      </c>
      <c r="F900" s="512"/>
      <c r="G900" s="1718"/>
      <c r="H900" s="12">
        <f>OBRA!O898</f>
        <v>0</v>
      </c>
      <c r="I900" s="2">
        <f>OBRA!P898</f>
        <v>0</v>
      </c>
      <c r="J900" s="3">
        <f>OBRA!Q898</f>
        <v>0</v>
      </c>
      <c r="K900" s="544"/>
      <c r="L900" s="544"/>
      <c r="M900" s="544"/>
      <c r="N900" s="3">
        <f>OBRA!R898</f>
        <v>0</v>
      </c>
      <c r="O900" s="532"/>
      <c r="P900" s="4">
        <f>OBRA!S898</f>
        <v>0</v>
      </c>
      <c r="Q900" s="1045">
        <f t="shared" si="70"/>
        <v>0</v>
      </c>
      <c r="R900" s="1762" t="s">
        <v>67</v>
      </c>
      <c r="S900" s="6">
        <f>OBRA!T898</f>
        <v>0</v>
      </c>
      <c r="T900" s="1156">
        <f>OBRA!W898</f>
        <v>0</v>
      </c>
      <c r="U900" s="5">
        <f>OBRA!U898</f>
        <v>0</v>
      </c>
      <c r="V900" s="11">
        <f>OBRA!V898</f>
        <v>0</v>
      </c>
      <c r="W900" s="1037"/>
      <c r="X900" s="1041">
        <f>OBRA!AT898+OBRA!AU898</f>
        <v>0</v>
      </c>
      <c r="Y900" s="1039"/>
      <c r="Z900" s="146">
        <f>OBRA!X898</f>
        <v>0</v>
      </c>
      <c r="AA900" s="146"/>
      <c r="AB900" s="148">
        <f t="shared" si="71"/>
        <v>0</v>
      </c>
      <c r="AC900" s="163"/>
      <c r="AD900" s="1193"/>
      <c r="AE900" s="554">
        <f>OBRA!Y898</f>
        <v>0</v>
      </c>
      <c r="AF900" s="161"/>
      <c r="AG900" s="511"/>
      <c r="AH900" s="625" t="e">
        <f t="shared" si="72"/>
        <v>#DIV/0!</v>
      </c>
      <c r="AI900" s="511"/>
      <c r="AJ900" s="507"/>
      <c r="AK900" s="507"/>
      <c r="AL900" s="626"/>
      <c r="AM900" s="1546"/>
      <c r="AN900" s="565"/>
      <c r="AO900" s="565"/>
      <c r="AP900" s="565"/>
      <c r="AQ900" s="507"/>
      <c r="AR900" s="507"/>
      <c r="AS900" s="512"/>
      <c r="AT900" s="1852"/>
      <c r="AU900" s="1852"/>
      <c r="AV900" s="1852"/>
      <c r="AW900" s="1852"/>
      <c r="AX900" s="1852"/>
      <c r="AY900" s="1852"/>
      <c r="AZ900" s="1852"/>
      <c r="BA900" s="1852"/>
      <c r="BB900" s="507"/>
      <c r="BC900" s="507"/>
      <c r="BD900" s="507"/>
      <c r="BE900" s="507"/>
      <c r="BF900" s="507"/>
      <c r="BG900" s="507"/>
      <c r="BH900" s="507"/>
      <c r="BI900" s="33"/>
      <c r="BJ900" s="12"/>
    </row>
    <row r="901" spans="1:62" ht="15" hidden="1" customHeight="1">
      <c r="A901" s="16">
        <f>OBRA!K899</f>
        <v>0</v>
      </c>
      <c r="B901" s="781" t="s">
        <v>6558</v>
      </c>
      <c r="C901" s="781"/>
      <c r="D901" s="24"/>
      <c r="E901" s="2">
        <f>OBRA!N899</f>
        <v>0</v>
      </c>
      <c r="F901" s="512"/>
      <c r="G901" s="1718"/>
      <c r="H901" s="12">
        <f>OBRA!O899</f>
        <v>0</v>
      </c>
      <c r="I901" s="2">
        <f>OBRA!P899</f>
        <v>0</v>
      </c>
      <c r="J901" s="3">
        <f>OBRA!Q899</f>
        <v>0</v>
      </c>
      <c r="K901" s="544"/>
      <c r="L901" s="544"/>
      <c r="M901" s="544"/>
      <c r="N901" s="3">
        <f>OBRA!R899</f>
        <v>0</v>
      </c>
      <c r="O901" s="532"/>
      <c r="P901" s="4">
        <f>OBRA!S899</f>
        <v>0</v>
      </c>
      <c r="Q901" s="1045">
        <f t="shared" si="70"/>
        <v>0</v>
      </c>
      <c r="R901" s="1762" t="s">
        <v>67</v>
      </c>
      <c r="S901" s="6">
        <f>OBRA!T899</f>
        <v>0</v>
      </c>
      <c r="T901" s="1156">
        <f>OBRA!W899</f>
        <v>0</v>
      </c>
      <c r="U901" s="5">
        <f>OBRA!U899</f>
        <v>0</v>
      </c>
      <c r="V901" s="11">
        <f>OBRA!V899</f>
        <v>0</v>
      </c>
      <c r="W901" s="1037"/>
      <c r="X901" s="1041">
        <f>OBRA!AT899+OBRA!AU899</f>
        <v>0</v>
      </c>
      <c r="Y901" s="1039"/>
      <c r="Z901" s="146">
        <f>OBRA!X899</f>
        <v>0</v>
      </c>
      <c r="AA901" s="146"/>
      <c r="AB901" s="148">
        <f t="shared" si="71"/>
        <v>0</v>
      </c>
      <c r="AC901" s="163"/>
      <c r="AD901" s="1193"/>
      <c r="AE901" s="554">
        <f>OBRA!Y899</f>
        <v>0</v>
      </c>
      <c r="AF901" s="161"/>
      <c r="AG901" s="511"/>
      <c r="AH901" s="625" t="e">
        <f t="shared" si="72"/>
        <v>#DIV/0!</v>
      </c>
      <c r="AI901" s="511"/>
      <c r="AJ901" s="507"/>
      <c r="AK901" s="507"/>
      <c r="AL901" s="626"/>
      <c r="AM901" s="1546"/>
      <c r="AN901" s="565"/>
      <c r="AO901" s="565"/>
      <c r="AP901" s="565"/>
      <c r="AQ901" s="507"/>
      <c r="AR901" s="507"/>
      <c r="AS901" s="512"/>
      <c r="AT901" s="1852"/>
      <c r="AU901" s="1852"/>
      <c r="AV901" s="1852"/>
      <c r="AW901" s="1852"/>
      <c r="AX901" s="1852"/>
      <c r="AY901" s="1852"/>
      <c r="AZ901" s="1852"/>
      <c r="BA901" s="1852"/>
      <c r="BB901" s="507"/>
      <c r="BC901" s="507"/>
      <c r="BD901" s="507"/>
      <c r="BE901" s="507"/>
      <c r="BF901" s="507"/>
      <c r="BG901" s="507"/>
      <c r="BH901" s="507"/>
      <c r="BI901" s="33"/>
      <c r="BJ901" s="12"/>
    </row>
    <row r="902" spans="1:62" ht="15" hidden="1" customHeight="1">
      <c r="A902" s="16">
        <f>OBRA!K900</f>
        <v>0</v>
      </c>
      <c r="B902" s="781" t="s">
        <v>6558</v>
      </c>
      <c r="C902" s="781"/>
      <c r="D902" s="24"/>
      <c r="E902" s="2">
        <f>OBRA!N900</f>
        <v>0</v>
      </c>
      <c r="F902" s="512"/>
      <c r="G902" s="1718"/>
      <c r="H902" s="12">
        <f>OBRA!O900</f>
        <v>0</v>
      </c>
      <c r="I902" s="2">
        <f>OBRA!P900</f>
        <v>0</v>
      </c>
      <c r="J902" s="3">
        <f>OBRA!Q900</f>
        <v>0</v>
      </c>
      <c r="K902" s="544"/>
      <c r="L902" s="544"/>
      <c r="M902" s="544"/>
      <c r="N902" s="3">
        <f>OBRA!R900</f>
        <v>0</v>
      </c>
      <c r="O902" s="532"/>
      <c r="P902" s="4">
        <f>OBRA!S900</f>
        <v>0</v>
      </c>
      <c r="Q902" s="1045">
        <f t="shared" si="70"/>
        <v>0</v>
      </c>
      <c r="R902" s="1762" t="s">
        <v>67</v>
      </c>
      <c r="S902" s="6">
        <f>OBRA!T900</f>
        <v>0</v>
      </c>
      <c r="T902" s="1156">
        <f>OBRA!W900</f>
        <v>0</v>
      </c>
      <c r="U902" s="5">
        <f>OBRA!U900</f>
        <v>0</v>
      </c>
      <c r="V902" s="11">
        <f>OBRA!V900</f>
        <v>0</v>
      </c>
      <c r="W902" s="1037"/>
      <c r="X902" s="1041">
        <f>OBRA!AT900+OBRA!AU900</f>
        <v>0</v>
      </c>
      <c r="Y902" s="1039"/>
      <c r="Z902" s="146">
        <f>OBRA!X900</f>
        <v>0</v>
      </c>
      <c r="AA902" s="146"/>
      <c r="AB902" s="148">
        <f t="shared" si="71"/>
        <v>0</v>
      </c>
      <c r="AC902" s="163"/>
      <c r="AD902" s="1193"/>
      <c r="AE902" s="554">
        <f>OBRA!Y900</f>
        <v>0</v>
      </c>
      <c r="AF902" s="161"/>
      <c r="AG902" s="511"/>
      <c r="AH902" s="625" t="e">
        <f t="shared" si="72"/>
        <v>#DIV/0!</v>
      </c>
      <c r="AI902" s="511"/>
      <c r="AJ902" s="507"/>
      <c r="AK902" s="507"/>
      <c r="AL902" s="626"/>
      <c r="AM902" s="1546"/>
      <c r="AN902" s="565"/>
      <c r="AO902" s="565"/>
      <c r="AP902" s="565"/>
      <c r="AQ902" s="507"/>
      <c r="AR902" s="507"/>
      <c r="AS902" s="512"/>
      <c r="AT902" s="1852"/>
      <c r="AU902" s="1852"/>
      <c r="AV902" s="1852"/>
      <c r="AW902" s="1852"/>
      <c r="AX902" s="1852"/>
      <c r="AY902" s="1852"/>
      <c r="AZ902" s="1852"/>
      <c r="BA902" s="1852"/>
      <c r="BB902" s="507"/>
      <c r="BC902" s="507"/>
      <c r="BD902" s="507"/>
      <c r="BE902" s="507"/>
      <c r="BF902" s="507"/>
      <c r="BG902" s="507"/>
      <c r="BH902" s="507"/>
      <c r="BI902" s="33"/>
      <c r="BJ902" s="12"/>
    </row>
    <row r="903" spans="1:62" ht="15" hidden="1" customHeight="1">
      <c r="A903" s="16">
        <f>OBRA!K901</f>
        <v>0</v>
      </c>
      <c r="B903" s="781" t="s">
        <v>6558</v>
      </c>
      <c r="C903" s="781"/>
      <c r="D903" s="24"/>
      <c r="E903" s="2">
        <f>OBRA!N901</f>
        <v>0</v>
      </c>
      <c r="F903" s="512"/>
      <c r="G903" s="1718"/>
      <c r="H903" s="12">
        <f>OBRA!O901</f>
        <v>0</v>
      </c>
      <c r="I903" s="2">
        <f>OBRA!P901</f>
        <v>0</v>
      </c>
      <c r="J903" s="3">
        <f>OBRA!Q901</f>
        <v>0</v>
      </c>
      <c r="K903" s="544"/>
      <c r="L903" s="544"/>
      <c r="M903" s="544"/>
      <c r="N903" s="3">
        <f>OBRA!R901</f>
        <v>0</v>
      </c>
      <c r="O903" s="532"/>
      <c r="P903" s="4">
        <f>OBRA!S901</f>
        <v>0</v>
      </c>
      <c r="Q903" s="1045">
        <f t="shared" si="70"/>
        <v>0</v>
      </c>
      <c r="R903" s="1762" t="s">
        <v>67</v>
      </c>
      <c r="S903" s="6">
        <f>OBRA!T901</f>
        <v>0</v>
      </c>
      <c r="T903" s="1156">
        <f>OBRA!W901</f>
        <v>0</v>
      </c>
      <c r="U903" s="5">
        <f>OBRA!U901</f>
        <v>0</v>
      </c>
      <c r="V903" s="11">
        <f>OBRA!V901</f>
        <v>0</v>
      </c>
      <c r="W903" s="1037"/>
      <c r="X903" s="1041">
        <f>OBRA!AT901+OBRA!AU901</f>
        <v>0</v>
      </c>
      <c r="Y903" s="1039"/>
      <c r="Z903" s="146">
        <f>OBRA!X901</f>
        <v>0</v>
      </c>
      <c r="AA903" s="146"/>
      <c r="AB903" s="148">
        <f t="shared" si="71"/>
        <v>0</v>
      </c>
      <c r="AC903" s="163"/>
      <c r="AD903" s="1193"/>
      <c r="AE903" s="554">
        <f>OBRA!Y901</f>
        <v>0</v>
      </c>
      <c r="AF903" s="161"/>
      <c r="AG903" s="511"/>
      <c r="AH903" s="625" t="e">
        <f t="shared" si="72"/>
        <v>#DIV/0!</v>
      </c>
      <c r="AI903" s="511"/>
      <c r="AJ903" s="507"/>
      <c r="AK903" s="507"/>
      <c r="AL903" s="626"/>
      <c r="AM903" s="1546"/>
      <c r="AN903" s="565"/>
      <c r="AO903" s="565"/>
      <c r="AP903" s="565"/>
      <c r="AQ903" s="507"/>
      <c r="AR903" s="507"/>
      <c r="AS903" s="512"/>
      <c r="AT903" s="1852"/>
      <c r="AU903" s="1852"/>
      <c r="AV903" s="1852"/>
      <c r="AW903" s="1852"/>
      <c r="AX903" s="1852"/>
      <c r="AY903" s="1852"/>
      <c r="AZ903" s="1852"/>
      <c r="BA903" s="1852"/>
      <c r="BB903" s="507"/>
      <c r="BC903" s="507"/>
      <c r="BD903" s="507"/>
      <c r="BE903" s="507"/>
      <c r="BF903" s="507"/>
      <c r="BG903" s="507"/>
      <c r="BH903" s="507"/>
      <c r="BI903" s="33"/>
      <c r="BJ903" s="12"/>
    </row>
    <row r="904" spans="1:62" ht="15" hidden="1" customHeight="1">
      <c r="A904" s="16">
        <f>OBRA!K902</f>
        <v>0</v>
      </c>
      <c r="B904" s="781" t="s">
        <v>6558</v>
      </c>
      <c r="C904" s="781"/>
      <c r="D904" s="24"/>
      <c r="E904" s="2">
        <f>OBRA!N902</f>
        <v>0</v>
      </c>
      <c r="F904" s="512"/>
      <c r="G904" s="1718"/>
      <c r="H904" s="12">
        <f>OBRA!O902</f>
        <v>0</v>
      </c>
      <c r="I904" s="2">
        <f>OBRA!P902</f>
        <v>0</v>
      </c>
      <c r="J904" s="3">
        <f>OBRA!Q902</f>
        <v>0</v>
      </c>
      <c r="K904" s="544"/>
      <c r="L904" s="544"/>
      <c r="M904" s="544"/>
      <c r="N904" s="3">
        <f>OBRA!R902</f>
        <v>0</v>
      </c>
      <c r="O904" s="532"/>
      <c r="P904" s="4">
        <f>OBRA!S902</f>
        <v>0</v>
      </c>
      <c r="Q904" s="1045">
        <f t="shared" si="70"/>
        <v>0</v>
      </c>
      <c r="R904" s="1762" t="s">
        <v>67</v>
      </c>
      <c r="S904" s="6">
        <f>OBRA!T902</f>
        <v>0</v>
      </c>
      <c r="T904" s="1156">
        <f>OBRA!W902</f>
        <v>0</v>
      </c>
      <c r="U904" s="5">
        <f>OBRA!U902</f>
        <v>0</v>
      </c>
      <c r="V904" s="11">
        <f>OBRA!V902</f>
        <v>0</v>
      </c>
      <c r="W904" s="1037"/>
      <c r="X904" s="1041">
        <f>OBRA!AT902+OBRA!AU902</f>
        <v>0</v>
      </c>
      <c r="Y904" s="1039"/>
      <c r="Z904" s="146">
        <f>OBRA!X902</f>
        <v>0</v>
      </c>
      <c r="AA904" s="146"/>
      <c r="AB904" s="148">
        <f t="shared" si="71"/>
        <v>0</v>
      </c>
      <c r="AC904" s="163"/>
      <c r="AD904" s="1193"/>
      <c r="AE904" s="554">
        <f>OBRA!Y902</f>
        <v>0</v>
      </c>
      <c r="AF904" s="161"/>
      <c r="AG904" s="511"/>
      <c r="AH904" s="625" t="e">
        <f t="shared" si="72"/>
        <v>#DIV/0!</v>
      </c>
      <c r="AI904" s="511"/>
      <c r="AJ904" s="507"/>
      <c r="AK904" s="507"/>
      <c r="AL904" s="626"/>
      <c r="AM904" s="1546"/>
      <c r="AN904" s="565"/>
      <c r="AO904" s="565"/>
      <c r="AP904" s="565"/>
      <c r="AQ904" s="507"/>
      <c r="AR904" s="507"/>
      <c r="AS904" s="512"/>
      <c r="AT904" s="1852"/>
      <c r="AU904" s="1852"/>
      <c r="AV904" s="1852"/>
      <c r="AW904" s="1852"/>
      <c r="AX904" s="1852"/>
      <c r="AY904" s="1852"/>
      <c r="AZ904" s="1852"/>
      <c r="BA904" s="1852"/>
      <c r="BB904" s="507"/>
      <c r="BC904" s="507"/>
      <c r="BD904" s="507"/>
      <c r="BE904" s="507"/>
      <c r="BF904" s="507"/>
      <c r="BG904" s="507"/>
      <c r="BH904" s="507"/>
      <c r="BI904" s="33"/>
      <c r="BJ904" s="12"/>
    </row>
    <row r="905" spans="1:62">
      <c r="A905" s="2199"/>
      <c r="B905" s="2199"/>
      <c r="C905" s="24"/>
      <c r="D905" s="24"/>
      <c r="E905" s="2201"/>
      <c r="F905" s="23"/>
      <c r="G905" s="2201"/>
      <c r="H905" s="2203"/>
      <c r="I905" s="2203"/>
      <c r="J905" s="2204"/>
      <c r="K905" s="2204"/>
      <c r="L905" s="26"/>
      <c r="M905" s="2204"/>
      <c r="N905" s="2204"/>
      <c r="O905" s="2200"/>
      <c r="P905" s="1734"/>
      <c r="Q905" s="27"/>
      <c r="R905" s="1734"/>
      <c r="S905" s="28"/>
      <c r="T905" s="28"/>
      <c r="U905" s="29"/>
      <c r="V905" s="29"/>
      <c r="W905" s="1995"/>
      <c r="X905" s="29"/>
      <c r="Y905" s="1387"/>
      <c r="Z905" s="29"/>
      <c r="AA905" s="29"/>
      <c r="AB905" s="29"/>
      <c r="AC905" s="29"/>
      <c r="AD905" s="29"/>
      <c r="AE905" s="23"/>
      <c r="AF905" s="23"/>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3"/>
    </row>
    <row r="906" spans="1:62" ht="30" customHeight="1">
      <c r="A906" s="2200"/>
      <c r="B906" s="2200"/>
      <c r="E906" s="2202" t="s">
        <v>2968</v>
      </c>
      <c r="G906" s="2200"/>
      <c r="H906" s="2205"/>
      <c r="I906" s="2200"/>
      <c r="J906" s="2200"/>
      <c r="K906" s="2200"/>
      <c r="M906" s="2200"/>
      <c r="N906" s="2200"/>
      <c r="O906" s="2204"/>
      <c r="P906" s="2206"/>
      <c r="W906" s="536"/>
      <c r="X906" s="536">
        <f>X408+X409+P524+X583+X648+P755</f>
        <v>6304068.8499999996</v>
      </c>
      <c r="Z906"/>
      <c r="AA906"/>
      <c r="AC906"/>
      <c r="AD906"/>
      <c r="AF906" s="1879">
        <f>AF491+AF499+AF500</f>
        <v>1872.4</v>
      </c>
      <c r="AT906" s="72"/>
      <c r="AV906" s="72"/>
      <c r="AX906" s="72"/>
      <c r="AY906" s="72"/>
      <c r="BA906" s="72"/>
      <c r="BF906" s="1879"/>
    </row>
    <row r="907" spans="1:62">
      <c r="E907" t="s">
        <v>2969</v>
      </c>
      <c r="H907" s="1839"/>
      <c r="I907"/>
      <c r="M907"/>
      <c r="N907"/>
      <c r="O907" s="26"/>
      <c r="Z907"/>
      <c r="AA907"/>
      <c r="AC907"/>
      <c r="AD907"/>
      <c r="AT907" t="s">
        <v>6291</v>
      </c>
    </row>
    <row r="908" spans="1:62">
      <c r="H908" s="1839"/>
      <c r="I908"/>
      <c r="M908"/>
      <c r="N908"/>
      <c r="O908" s="26"/>
      <c r="P908" s="506"/>
      <c r="Z908"/>
      <c r="AA908"/>
      <c r="AC908"/>
      <c r="AD908"/>
    </row>
    <row r="909" spans="1:62" ht="18.75">
      <c r="A909" s="159"/>
      <c r="B909" s="159"/>
      <c r="C909" s="159"/>
      <c r="D909" s="159"/>
      <c r="I909"/>
      <c r="M909"/>
      <c r="N909"/>
      <c r="P909" s="506"/>
      <c r="X909" s="536"/>
      <c r="Z909"/>
      <c r="AA909"/>
      <c r="AC909"/>
      <c r="AD909"/>
      <c r="AG909" s="25"/>
    </row>
    <row r="910" spans="1:62" s="1019" customFormat="1" ht="26.25">
      <c r="E910" s="1020" t="s">
        <v>2182</v>
      </c>
      <c r="F910" s="1020"/>
      <c r="G910" s="1020"/>
      <c r="H910" s="1833"/>
      <c r="V910" s="1019">
        <f>97+105</f>
        <v>202</v>
      </c>
      <c r="X910" s="1882"/>
      <c r="Y910" s="1833"/>
      <c r="AD910" s="1883">
        <f>BA760</f>
        <v>303813.15240000002</v>
      </c>
    </row>
    <row r="911" spans="1:62" s="1019" customFormat="1" ht="26.25">
      <c r="E911" s="1022">
        <f>OBRA!Q904</f>
        <v>45789</v>
      </c>
      <c r="F911" s="1021"/>
      <c r="G911" s="1021"/>
      <c r="H911" s="1840"/>
      <c r="I911" s="1021"/>
      <c r="Y911" s="1833"/>
      <c r="AD911" s="1883">
        <f>AD910*AE911/AG911</f>
        <v>295318.3767572369</v>
      </c>
      <c r="AE911" s="1019">
        <v>591</v>
      </c>
      <c r="AF911" s="1019">
        <v>17</v>
      </c>
      <c r="AG911" s="1019">
        <f>AE911+AF911</f>
        <v>608</v>
      </c>
    </row>
    <row r="912" spans="1:62">
      <c r="I912"/>
      <c r="M912"/>
      <c r="N912"/>
      <c r="Z912"/>
      <c r="AA912"/>
      <c r="AC912"/>
      <c r="AD912"/>
    </row>
    <row r="913" spans="9:30">
      <c r="I913"/>
      <c r="M913"/>
      <c r="N913"/>
      <c r="Z913"/>
      <c r="AA913"/>
      <c r="AC913"/>
      <c r="AD913"/>
    </row>
  </sheetData>
  <autoFilter ref="A7:BJ904" xr:uid="{00000000-0009-0000-0000-000001000000}">
    <filterColumn colId="0">
      <filters>
        <filter val="2022"/>
        <filter val="2023"/>
        <filter val="2024"/>
        <filter val="2025"/>
      </filters>
    </filterColumn>
    <filterColumn colId="1">
      <filters>
        <filter val="2021-2024"/>
        <filter val="2024-2027"/>
      </filters>
    </filterColumn>
    <filterColumn colId="8">
      <filters>
        <filter val="ADMINISTRACIÓN DIRECTA"/>
      </filters>
    </filterColumn>
    <filterColumn colId="9">
      <filters>
        <filter val="&quot;BACHEO SUPERFICIAL AISLADO CON MEZCLA ASFÁLTICA EN LA CALLE NIÑÓS HÉROES ENTRE CALLE DEGOLLADO Y CALLE ITURBIDE EN EL BARRIO LA CALABAZA DE LA CABECERA MUNICIPAL DE JOCOTEPEC, JALISCO, MUNICIPIO DE JOCOTEPEC, JALISCO"/>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ONSTRUCCIÓN DE BANQUETAS EN EL PUENTE 20 DE NOVIEMBRE&quot;, EN LA LOCALIDAD DE ZAPOTITÁN DE HIDALGO, DEL MUNICIPIO DE JOCOTEPEC, JALISCO."/>
        <filter val="&quot;CONSTRUCCIÓN DE DRENAJE EN CARRETERA JOCOTEPEC-CHAPALA DE CALLE XOCHITL A CALLE PLAYAS DEL SOL&quot;, EN LA LOCALIDAD DE CHANTEPEC, MUNICIPIO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JOSÉ SANTANA DE C. RIVERA DEL LAGO A 30 ML HACIA COLÓN&quot;, EN LA CABECERA MUNICIPAL DE JOCOTEPEC, JALISCO."/>
        <filter val="&quot;CONSTRUCCIÓN DE SUPERFICIE DE RODAMIENTO EN CALLE LIBERTAD&quot;, EN LA LOCALIDAD DE SAN PEDRO TESISTÁN, DEL MUNICIPIO DE JOCOTEPEC, JALISCO"/>
        <filter val="&quot;DELIMITACIÓN PERIMETRAL, CASETA DE CONTROL U CLORACIÓN DEL POZO DE AGUA&quot;, EN LA LOCALIDAD DE SAN PEDRO TESITÁN"/>
        <filter val="&quot;EXTENSIÓN DE RED DE AGUA POTABLE DE 4&quot; DE DIAMETRO EN LA CALLE CHUECA&quot; EN LA LOCALIDAD DE CHANTEPEC, MUNICIPIO DE JOCOTEPEC, JALISCO."/>
        <filter val="&quot;IMPERMEABILIZACIÓN DE CUPULAS EN EL TEMPLO DEL SR. DEL MONTE&quot;, EN LA CABECERA MUNICIPAL DE JOCOTEPEC, JALISCO."/>
        <filter val="&quot;REHABILITACIÓN DE EXTENSIÓN DE RED DE AGUA POTABLE DE 4&quot; EN CALLE PROL. MORELOS ENTRE CALLE RIBERA DEL LAGO Y CALLE CHUECA&quot; EN LA LOCALIDAD DE NEXTIPAC, DEL MUNICIPIO DE JOCOTEPEC, JALISCO."/>
        <filter val="&quot;REHABILITACIÓN DE SUPERFICIE DE RODAMIENTO Y CONSTRUCCIÓN DE BOCA DE TORMENTA EN CALLE MATAMOROS&quot;, EN LA CABECERA MUNICIPAL DE JOCOTEPEC, JALISCO."/>
        <filter val="&quot;REMODELACIÓN DE PRESIDENCIA (2DA ETAPA)&quot;, EN LA CABECERA MUNICIPAL DE JOCOTEPEC."/>
        <filter val="“CONSTRUCCIÓN DE BAÑOS PÚBLICOS”, EN LA LOCALIDAD DE EL MOLINO, DEL MUNICIPIO DE JOCOTEPEC, JALISCO"/>
        <filter val="“CONSTRUCCIÓN DEL TECHO DE LA SALA DE JUNTAS DEL PUNTO INOCUO DE DESEMBARQUE UBICADO DENTRO DE LAS INSTALACIONES DE LA COOPERATIVA”, EN LA LOCALIDAD DE SAN JUAN COSALÁ, DEL MUNICIPIO DE JOCOTEPEC, JALISCO"/>
        <filter val="CUARTO DE EMERGENCIA PARA MUJERES EN SITUACIÓN DE VIOLENCIA EXTREMA…"/>
        <filter val="REHABILITACIÓN DE REDES HIDROSANITARIAS Y COLECTOR DE CALLE RIVERA DEL LAGO ENTRE CALLE GUAYABITOS Y CALLE CHUECA&quot;, EN LA LOCALIDAD DE CHANTEPEC, MUNICIPIO DE JOCOTEPEC, JALISCO."/>
        <filter val="REHABILITACIÓN DE REDES HIDROSANITARIAS Y SUPERFICIE DE RODAMIENTO EN C. MATAMOROS ENTRE DEGOLLADO Y ALDAMA&quot;, EN LA CABECERA MUNICIPAL DE JOCOTEPEC, JALISCO."/>
      </filters>
    </filterColumn>
    <sortState xmlns:xlrd2="http://schemas.microsoft.com/office/spreadsheetml/2017/richdata2" ref="A854:BJ854">
      <sortCondition ref="M7:M904"/>
    </sortState>
  </autoFilter>
  <mergeCells count="16">
    <mergeCell ref="A1:BJ1"/>
    <mergeCell ref="A2:BJ2"/>
    <mergeCell ref="F3:J3"/>
    <mergeCell ref="G4:V4"/>
    <mergeCell ref="A4:F5"/>
    <mergeCell ref="S5:V5"/>
    <mergeCell ref="G5:N5"/>
    <mergeCell ref="P5:Q5"/>
    <mergeCell ref="W4:X5"/>
    <mergeCell ref="Y4:Y5"/>
    <mergeCell ref="Z4:AE5"/>
    <mergeCell ref="AL5:AM5"/>
    <mergeCell ref="AF4:AM4"/>
    <mergeCell ref="AI5:AJ5"/>
    <mergeCell ref="AN4:AS5"/>
    <mergeCell ref="AT4:BG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AP829" r:id="rId785" xr:uid="{8944A746-00B1-4EB7-A507-74E2E438EECA}"/>
    <hyperlink ref="AN872" r:id="rId786" xr:uid="{AE1A3850-631D-44D4-A04D-5287C3F89144}"/>
    <hyperlink ref="AQ872" r:id="rId787" xr:uid="{5653DBB7-7343-491C-AB37-8DE3094F2FF3}"/>
    <hyperlink ref="AS872" r:id="rId788" xr:uid="{797FCD82-9A53-4F8C-A01A-5D0A44E55BBA}"/>
    <hyperlink ref="AN868" r:id="rId789" xr:uid="{64EDE275-7A65-42AF-BFC2-7AC456F79C3F}"/>
    <hyperlink ref="AO868" r:id="rId790" xr:uid="{855FC614-92E3-4D2A-A232-AFAA83F00C3C}"/>
    <hyperlink ref="AR868" r:id="rId791" xr:uid="{D26017A2-B7B8-4BE3-A0F9-19B3F29FF101}"/>
    <hyperlink ref="AS868" r:id="rId792" xr:uid="{8D1999A4-0500-498E-8751-CB4C3C24D50B}"/>
    <hyperlink ref="AS854" r:id="rId793" xr:uid="{6EEE89B7-B402-4F34-B7AB-488F56EC3E66}"/>
    <hyperlink ref="AS844" r:id="rId794" xr:uid="{887FA80D-F379-4F65-AE35-E6A76AC126AC}"/>
    <hyperlink ref="AS840" r:id="rId795" xr:uid="{BBFE7BEB-EB60-4085-A7D3-D9199C35FE0A}"/>
    <hyperlink ref="AS841" r:id="rId796" xr:uid="{3CF3ABDD-0824-41C0-9852-55587F1D9FEE}"/>
    <hyperlink ref="AS846" r:id="rId797" xr:uid="{247D8782-8ECB-4121-A048-EC3D856142EC}"/>
    <hyperlink ref="AS843" r:id="rId798" xr:uid="{158C767A-6E2F-486C-B1C9-A07243B45C69}"/>
    <hyperlink ref="AS845" r:id="rId799" xr:uid="{6F446019-8D6D-445A-AD59-5FFC4541DDE5}"/>
  </hyperlinks>
  <pageMargins left="0.47244094488188981" right="0.23622047244094491" top="0.35433070866141736" bottom="0.35433070866141736" header="0.70866141732283472" footer="0.74803149606299213"/>
  <pageSetup paperSize="5" scale="50" orientation="landscape" r:id="rId800"/>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9"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81" customWidth="1"/>
  </cols>
  <sheetData>
    <row r="5" spans="1:17">
      <c r="A5" s="1643"/>
      <c r="B5" s="1650"/>
      <c r="C5" s="1643" t="s">
        <v>1408</v>
      </c>
      <c r="D5" s="1643" t="s">
        <v>19</v>
      </c>
      <c r="E5" s="1643" t="s">
        <v>1419</v>
      </c>
      <c r="F5" s="1677" t="s">
        <v>4746</v>
      </c>
      <c r="G5" s="1643" t="s">
        <v>2209</v>
      </c>
      <c r="H5" s="1643" t="s">
        <v>4743</v>
      </c>
      <c r="I5" s="1643" t="s">
        <v>3388</v>
      </c>
      <c r="J5" s="1643" t="s">
        <v>3389</v>
      </c>
      <c r="K5" s="2130" t="s">
        <v>4744</v>
      </c>
      <c r="L5" s="2130"/>
      <c r="M5" s="1647" t="s">
        <v>4747</v>
      </c>
      <c r="N5" s="1643" t="s">
        <v>2458</v>
      </c>
      <c r="O5" s="1643" t="s">
        <v>1417</v>
      </c>
      <c r="P5" s="1643" t="s">
        <v>4745</v>
      </c>
      <c r="Q5" s="1682" t="s">
        <v>2968</v>
      </c>
    </row>
    <row r="6" spans="1:17" ht="18.75" customHeight="1">
      <c r="A6" s="956"/>
      <c r="B6" s="1651"/>
      <c r="C6" s="956"/>
      <c r="D6" s="956"/>
      <c r="E6" s="956"/>
      <c r="F6" s="1678"/>
      <c r="G6" s="956"/>
      <c r="H6" s="956"/>
      <c r="I6" s="956"/>
      <c r="J6" s="956"/>
      <c r="K6" s="956"/>
      <c r="L6" s="956"/>
      <c r="M6" s="956"/>
      <c r="N6" s="956"/>
      <c r="O6" s="956"/>
      <c r="P6" s="956"/>
      <c r="Q6" s="1683"/>
    </row>
    <row r="7" spans="1:17" ht="60.75" customHeight="1">
      <c r="A7" s="1"/>
      <c r="B7" s="1646"/>
      <c r="C7" s="1" t="str">
        <f>OBRA!CE346</f>
        <v>2018-2021</v>
      </c>
      <c r="D7" s="1">
        <f>OBRA!K346</f>
        <v>2018</v>
      </c>
      <c r="E7" s="1644"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44" t="s">
        <v>4748</v>
      </c>
      <c r="I7" s="3" t="str">
        <f>OBRA!R346</f>
        <v>SAN JUAN COSALÁ</v>
      </c>
      <c r="J7" s="3" t="s">
        <v>4765</v>
      </c>
      <c r="K7" s="674"/>
      <c r="L7" s="674"/>
      <c r="M7" s="1648">
        <f>OBRA!AT346+OBRA!AU346</f>
        <v>256948.51</v>
      </c>
      <c r="N7" s="243">
        <f>'ADMININSTRACIÓN DIR - OBRA'!AF348</f>
        <v>222</v>
      </c>
      <c r="O7" s="243" t="str">
        <f>'ADMININSTRACIÓN DIR - OBRA'!AG348</f>
        <v>ML</v>
      </c>
      <c r="P7" s="1"/>
      <c r="Q7" s="1"/>
    </row>
    <row r="8" spans="1:17" ht="63" customHeight="1">
      <c r="A8" s="1"/>
      <c r="B8" s="1646"/>
      <c r="C8" s="1" t="str">
        <f>OBRA!CE347</f>
        <v>2018-2021</v>
      </c>
      <c r="D8" s="1">
        <f>OBRA!K347</f>
        <v>2018</v>
      </c>
      <c r="E8" s="1644"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44" t="s">
        <v>4748</v>
      </c>
      <c r="I8" s="3" t="str">
        <f>OBRA!R347</f>
        <v>SAN JUAN COSALÁ</v>
      </c>
      <c r="J8" s="3" t="s">
        <v>4765</v>
      </c>
      <c r="K8" s="674"/>
      <c r="L8" s="674"/>
      <c r="M8" s="1648">
        <f>OBRA!AT347+OBRA!AU347</f>
        <v>342261.25</v>
      </c>
      <c r="N8" s="243">
        <f>'ADMININSTRACIÓN DIR - OBRA'!AF349</f>
        <v>229</v>
      </c>
      <c r="O8" s="243" t="str">
        <f>'ADMININSTRACIÓN DIR - OBRA'!AG349</f>
        <v>ML</v>
      </c>
      <c r="P8" s="1"/>
      <c r="Q8" s="1"/>
    </row>
    <row r="9" spans="1:17" ht="60">
      <c r="A9" s="1"/>
      <c r="B9" s="1646"/>
      <c r="C9" s="1" t="str">
        <f>OBRA!CE348</f>
        <v>2018-2021</v>
      </c>
      <c r="D9" s="1">
        <f>OBRA!K348</f>
        <v>2018</v>
      </c>
      <c r="E9" s="1644"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44" t="s">
        <v>4750</v>
      </c>
      <c r="I9" s="3" t="str">
        <f>OBRA!R348</f>
        <v>CHANTEPEC</v>
      </c>
      <c r="J9" s="3" t="s">
        <v>2636</v>
      </c>
      <c r="K9" s="3" t="s">
        <v>4769</v>
      </c>
      <c r="L9" s="3" t="s">
        <v>4900</v>
      </c>
      <c r="M9" s="1648">
        <f>OBRA!AT348+OBRA!AU348</f>
        <v>305644.31</v>
      </c>
      <c r="N9" s="243">
        <f>'ADMININSTRACIÓN DIR - OBRA'!AF350</f>
        <v>70</v>
      </c>
      <c r="O9" s="243" t="str">
        <f>'ADMININSTRACIÓN DIR - OBRA'!AG350</f>
        <v>ML</v>
      </c>
      <c r="P9" s="1"/>
      <c r="Q9" s="1"/>
    </row>
    <row r="10" spans="1:17" ht="60">
      <c r="A10" s="1"/>
      <c r="B10" s="1646"/>
      <c r="C10" s="1" t="str">
        <f>OBRA!CE349</f>
        <v>2018-2021</v>
      </c>
      <c r="D10" s="1">
        <f>OBRA!K349</f>
        <v>2018</v>
      </c>
      <c r="E10" s="1644"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44" t="s">
        <v>4748</v>
      </c>
      <c r="I10" s="3" t="str">
        <f>OBRA!R349</f>
        <v>CHANTEPEC</v>
      </c>
      <c r="J10" s="3" t="s">
        <v>2636</v>
      </c>
      <c r="K10" s="3" t="s">
        <v>4769</v>
      </c>
      <c r="L10" s="3" t="s">
        <v>4900</v>
      </c>
      <c r="M10" s="1648">
        <f>OBRA!AT349+OBRA!AU349</f>
        <v>217283.1</v>
      </c>
      <c r="N10" s="243">
        <f>'ADMININSTRACIÓN DIR - OBRA'!AF351</f>
        <v>70</v>
      </c>
      <c r="O10" s="243" t="str">
        <f>'ADMININSTRACIÓN DIR - OBRA'!AG351</f>
        <v>ML</v>
      </c>
      <c r="P10" s="1"/>
      <c r="Q10" s="1"/>
    </row>
    <row r="11" spans="1:17" ht="30" hidden="1">
      <c r="A11" s="1"/>
      <c r="B11" s="1"/>
      <c r="C11" s="1" t="str">
        <f>OBRA!CE350</f>
        <v>2018-2021</v>
      </c>
      <c r="D11" s="1">
        <f>OBRA!K350</f>
        <v>2019</v>
      </c>
      <c r="E11" s="1644" t="str">
        <f>OBRA!P350</f>
        <v>CONVENIO</v>
      </c>
      <c r="F11" s="1644" t="str">
        <f>OBRA!O350</f>
        <v>CEA-PERF-003/2019</v>
      </c>
      <c r="G11" s="3" t="str">
        <f>OBRA!Q350</f>
        <v>PERFORACIÓN DE POZO PROFUNDO PARA AGUA POTABLE EN LA LOCALIDAD DE EL MOLINO, MUNICIPIO DE JOCOTEPEC, JALISCO".</v>
      </c>
      <c r="H11" s="1"/>
      <c r="I11" s="3" t="str">
        <f>OBRA!R350</f>
        <v>EL MOLINO</v>
      </c>
      <c r="J11" s="3"/>
      <c r="K11" s="3"/>
      <c r="L11" s="3"/>
      <c r="M11" s="1648">
        <f>OBRA!AT350+OBRA!AU350</f>
        <v>0</v>
      </c>
      <c r="N11" s="1" t="str">
        <f>'ADMININSTRACIÓN DIR - OBRA'!AF352</f>
        <v>-</v>
      </c>
      <c r="O11" s="1" t="str">
        <f>'ADMININSTRACIÓN DIR - OBRA'!AG352</f>
        <v>-</v>
      </c>
      <c r="P11" s="1"/>
      <c r="Q11" s="1"/>
    </row>
    <row r="12" spans="1:17" ht="33.75" hidden="1">
      <c r="A12" s="1"/>
      <c r="B12" s="1"/>
      <c r="C12" s="1" t="str">
        <f>OBRA!CE351</f>
        <v>2018-2021</v>
      </c>
      <c r="D12" s="1">
        <f>OBRA!K351</f>
        <v>2019</v>
      </c>
      <c r="E12" s="1644" t="str">
        <f>OBRA!P351</f>
        <v>CONVENIO</v>
      </c>
      <c r="F12" s="1644" t="str">
        <f>OBRA!O351</f>
        <v>CONVENIO JOCOTEPEC PID 2019</v>
      </c>
      <c r="G12" s="3" t="str">
        <f>OBRA!Q351</f>
        <v>ESTABLECIMIENTO DE DOS PUNTOS INOCUOS DE DESEMBARQUE (PID)"</v>
      </c>
      <c r="H12" s="1"/>
      <c r="I12" s="3">
        <f>OBRA!R351</f>
        <v>0</v>
      </c>
      <c r="J12" s="3"/>
      <c r="K12" s="3"/>
      <c r="L12" s="3"/>
      <c r="M12" s="1648">
        <f>OBRA!AT351+OBRA!AU351</f>
        <v>0</v>
      </c>
      <c r="N12" s="1" t="str">
        <f>'ADMININSTRACIÓN DIR - OBRA'!AF353</f>
        <v>-</v>
      </c>
      <c r="O12" s="1" t="str">
        <f>'ADMININSTRACIÓN DIR - OBRA'!AG353</f>
        <v>-</v>
      </c>
      <c r="P12" s="1"/>
      <c r="Q12" s="1"/>
    </row>
    <row r="13" spans="1:17" ht="30" hidden="1">
      <c r="A13" s="1"/>
      <c r="B13" s="1"/>
      <c r="C13" s="1" t="str">
        <f>OBRA!CE352</f>
        <v>2018-2021</v>
      </c>
      <c r="D13" s="1">
        <f>OBRA!K352</f>
        <v>2019</v>
      </c>
      <c r="E13" s="1644" t="str">
        <f>OBRA!P352</f>
        <v>CONVENIO</v>
      </c>
      <c r="F13" s="1644" t="str">
        <f>OBRA!O352</f>
        <v>CONVENIO RASTRO DIGNO 2019</v>
      </c>
      <c r="G13" s="3" t="str">
        <f>OBRA!Q352</f>
        <v>PROGRAMA DE MEJORAMIENTO DE INSTALACIONES DE SACRIFICIO DE GANADO "RASTRO DIGNO" EJERCICIO FISCAL 2019</v>
      </c>
      <c r="H13" s="1"/>
      <c r="I13" s="3" t="str">
        <f>OBRA!R352</f>
        <v>CABECERA MUNICIPAL</v>
      </c>
      <c r="J13" s="3"/>
      <c r="K13" s="3"/>
      <c r="L13" s="3"/>
      <c r="M13" s="1648">
        <f>OBRA!AT352+OBRA!AU352</f>
        <v>0</v>
      </c>
      <c r="N13" s="1" t="str">
        <f>'ADMININSTRACIÓN DIR - OBRA'!AF354</f>
        <v>-</v>
      </c>
      <c r="O13" s="1" t="str">
        <f>'ADMININSTRACIÓN DIR - OBRA'!AG354</f>
        <v>-</v>
      </c>
      <c r="P13" s="1"/>
      <c r="Q13" s="1"/>
    </row>
    <row r="14" spans="1:17" ht="75">
      <c r="A14" s="1"/>
      <c r="B14" s="1646"/>
      <c r="C14" s="1" t="str">
        <f>OBRA!CE353</f>
        <v>2018-2021</v>
      </c>
      <c r="D14" s="1">
        <f>OBRA!K353</f>
        <v>2019</v>
      </c>
      <c r="E14" s="1644"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44" t="s">
        <v>2209</v>
      </c>
      <c r="I14" s="3" t="str">
        <f>OBRA!R353</f>
        <v>CABECERA MUNICIPAL</v>
      </c>
      <c r="J14" s="3" t="s">
        <v>4766</v>
      </c>
      <c r="K14" s="3" t="s">
        <v>3149</v>
      </c>
      <c r="L14" s="3" t="s">
        <v>67</v>
      </c>
      <c r="M14" s="1648">
        <f>OBRA!AT353+OBRA!AU353</f>
        <v>249936.46</v>
      </c>
      <c r="N14" s="243">
        <f>'ADMININSTRACIÓN DIR - OBRA'!AF355</f>
        <v>534.25</v>
      </c>
      <c r="O14" s="243" t="str">
        <f>'ADMININSTRACIÓN DIR - OBRA'!AG355</f>
        <v>M2</v>
      </c>
      <c r="P14" s="2" t="s">
        <v>67</v>
      </c>
      <c r="Q14" s="2"/>
    </row>
    <row r="15" spans="1:17" ht="60" hidden="1">
      <c r="A15" s="1"/>
      <c r="B15" s="1"/>
      <c r="C15" s="1" t="str">
        <f>OBRA!CE354</f>
        <v>2018-2021</v>
      </c>
      <c r="D15" s="1">
        <f>OBRA!K354</f>
        <v>2019</v>
      </c>
      <c r="E15" s="1644" t="str">
        <f>OBRA!P354</f>
        <v>CANCELADA</v>
      </c>
      <c r="F15" s="1644"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48">
        <f>OBRA!AT354+OBRA!AU354</f>
        <v>0</v>
      </c>
      <c r="N15" s="1">
        <f>'ADMININSTRACIÓN DIR - OBRA'!AF356</f>
        <v>295.60000000000002</v>
      </c>
      <c r="O15" s="1" t="str">
        <f>'ADMININSTRACIÓN DIR - OBRA'!AG356</f>
        <v>M2</v>
      </c>
      <c r="P15" s="1"/>
      <c r="Q15" s="1"/>
    </row>
    <row r="16" spans="1:17" ht="45" hidden="1">
      <c r="A16" s="1"/>
      <c r="B16" s="1"/>
      <c r="C16" s="1" t="str">
        <f>OBRA!CE355</f>
        <v>2018-2021</v>
      </c>
      <c r="D16" s="1">
        <f>OBRA!K355</f>
        <v>2019</v>
      </c>
      <c r="E16" s="1644" t="str">
        <f>OBRA!P355</f>
        <v>CANCELADA</v>
      </c>
      <c r="F16" s="1644" t="str">
        <f>OBRA!O355</f>
        <v>DOP/AD/003/2019</v>
      </c>
      <c r="G16" s="3" t="str">
        <f>OBRA!Q355</f>
        <v>CONSERVACIÓN Y MANTENIMIENTO INCLUYENTE DE BANQUETA Y ACCESO HOSPITAL DE URGENCIAS" EN LA CABECERA MUNICIPAL DE JOCOTEPEC, JALISCO</v>
      </c>
      <c r="H16" s="1"/>
      <c r="I16" s="3">
        <f>OBRA!R355</f>
        <v>0</v>
      </c>
      <c r="J16" s="3"/>
      <c r="K16" s="3"/>
      <c r="L16" s="3"/>
      <c r="M16" s="1648">
        <f>OBRA!AT355+OBRA!AU355</f>
        <v>0</v>
      </c>
      <c r="N16" s="1">
        <f>'ADMININSTRACIÓN DIR - OBRA'!AF357</f>
        <v>1</v>
      </c>
      <c r="O16" s="1">
        <f>'ADMININSTRACIÓN DIR - OBRA'!AG357</f>
        <v>0</v>
      </c>
      <c r="P16" s="1"/>
      <c r="Q16" s="1"/>
    </row>
    <row r="17" spans="1:17" ht="45">
      <c r="A17" s="1"/>
      <c r="B17" s="1646"/>
      <c r="C17" s="1" t="str">
        <f>OBRA!CE356</f>
        <v>2018-2021</v>
      </c>
      <c r="D17" s="1">
        <f>OBRA!K356</f>
        <v>2019</v>
      </c>
      <c r="E17" s="1644" t="str">
        <f>OBRA!P356</f>
        <v>ADMINISTRACIÓN DIRECTA</v>
      </c>
      <c r="F17" s="1305" t="str">
        <f>OBRA!O356</f>
        <v>DOP/AD/004/2019</v>
      </c>
      <c r="G17" s="3" t="str">
        <f>OBRA!Q356</f>
        <v>CONSTRUCCIÓN DE RAMPAS INCLUYENTES EN LA DELEGACIÓN, DE SAN JUAN COSALA" DE LA CABECERA MUNICIPAL DE JOCOTEPEC, JALISCO.</v>
      </c>
      <c r="H17" s="1644" t="s">
        <v>4751</v>
      </c>
      <c r="I17" s="3" t="str">
        <f>OBRA!R356</f>
        <v>SAN JUAN COSALÁ</v>
      </c>
      <c r="J17" s="674" t="s">
        <v>4782</v>
      </c>
      <c r="K17" s="674" t="s">
        <v>2589</v>
      </c>
      <c r="L17" s="3" t="s">
        <v>67</v>
      </c>
      <c r="M17" s="1648">
        <f>OBRA!AT356+OBRA!AU356</f>
        <v>6559.65</v>
      </c>
      <c r="N17" s="243">
        <f>'ADMININSTRACIÓN DIR - OBRA'!AF358</f>
        <v>1</v>
      </c>
      <c r="O17" s="243" t="str">
        <f>'ADMININSTRACIÓN DIR - OBRA'!AG358</f>
        <v>LOTE</v>
      </c>
      <c r="P17" s="2" t="s">
        <v>67</v>
      </c>
      <c r="Q17" s="2"/>
    </row>
    <row r="18" spans="1:17" ht="67.5" customHeight="1">
      <c r="A18" s="1"/>
      <c r="B18" s="1646"/>
      <c r="C18" s="1" t="str">
        <f>OBRA!CE357</f>
        <v>2018-2021</v>
      </c>
      <c r="D18" s="1">
        <f>OBRA!K357</f>
        <v>2019</v>
      </c>
      <c r="E18" s="1644"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44" t="s">
        <v>4752</v>
      </c>
      <c r="I18" s="3" t="str">
        <f>OBRA!R357</f>
        <v>SAN JUAN COSALÁ</v>
      </c>
      <c r="J18" s="3" t="s">
        <v>4749</v>
      </c>
      <c r="K18" s="3" t="s">
        <v>67</v>
      </c>
      <c r="L18" s="3" t="s">
        <v>67</v>
      </c>
      <c r="M18" s="1648">
        <f>OBRA!AT357+OBRA!AU357</f>
        <v>50740.69</v>
      </c>
      <c r="N18" s="243">
        <f>'ADMININSTRACIÓN DIR - OBRA'!AF359</f>
        <v>1</v>
      </c>
      <c r="O18" s="243" t="str">
        <f>'ADMININSTRACIÓN DIR - OBRA'!AG359</f>
        <v>LOTE</v>
      </c>
      <c r="P18" s="2" t="s">
        <v>67</v>
      </c>
      <c r="Q18" s="2"/>
    </row>
    <row r="19" spans="1:17" ht="60.75" customHeight="1">
      <c r="A19" s="1"/>
      <c r="B19" s="1646"/>
      <c r="C19" s="1" t="str">
        <f>OBRA!CE358</f>
        <v>2018-2021</v>
      </c>
      <c r="D19" s="1">
        <f>OBRA!K358</f>
        <v>2019</v>
      </c>
      <c r="E19" s="1644" t="str">
        <f>OBRA!P358</f>
        <v>ADMINISTRACIÓN DIRECTA</v>
      </c>
      <c r="F19" s="1305" t="str">
        <f>OBRA!O358</f>
        <v>DOP/AD/006/2019</v>
      </c>
      <c r="G19" s="3" t="str">
        <f>OBRA!Q358</f>
        <v>"FABRICACIÓN DE APLANADO EN MURO PONIENTE DE LA PLAZA PRINCIPAL" EN LA DELEGACIÓN, DE SAN JUAN COSALA, DE LA CABECERA MUNICIPAL DE JOCOTEPEC, JALISCO</v>
      </c>
      <c r="H19" s="1644" t="s">
        <v>4752</v>
      </c>
      <c r="I19" s="3" t="str">
        <f>OBRA!R358</f>
        <v>SAN JUAN COSALÁ</v>
      </c>
      <c r="J19" s="3" t="s">
        <v>4749</v>
      </c>
      <c r="K19" s="3" t="s">
        <v>67</v>
      </c>
      <c r="L19" s="3" t="s">
        <v>67</v>
      </c>
      <c r="M19" s="1648">
        <f>OBRA!AT358+OBRA!AU358</f>
        <v>6202.19</v>
      </c>
      <c r="N19" s="243">
        <f>'ADMININSTRACIÓN DIR - OBRA'!AF360</f>
        <v>43</v>
      </c>
      <c r="O19" s="243" t="str">
        <f>'ADMININSTRACIÓN DIR - OBRA'!AG360</f>
        <v>M2</v>
      </c>
      <c r="P19" s="2" t="s">
        <v>67</v>
      </c>
      <c r="Q19" s="2"/>
    </row>
    <row r="20" spans="1:17" ht="64.5" customHeight="1">
      <c r="A20" s="1"/>
      <c r="B20" s="1646"/>
      <c r="C20" s="1" t="str">
        <f>OBRA!CE359</f>
        <v>2018-2021</v>
      </c>
      <c r="D20" s="1">
        <f>OBRA!K359</f>
        <v>2019</v>
      </c>
      <c r="E20" s="1644" t="str">
        <f>OBRA!P359</f>
        <v>ADMINISTRACIÓN DIRECTA</v>
      </c>
      <c r="F20" s="1305" t="str">
        <f>OBRA!O359</f>
        <v>DOP/AD/007/2019</v>
      </c>
      <c r="G20" s="3" t="str">
        <f>OBRA!Q359</f>
        <v>"MANTENIMIENTO Y CONSERVACIÓN CON MAQUINARIA PESADA DE CALLES Y CAMINOS EN LAS AGENCIAS, DELEGACIONES Y CABECERA DEL MUNICIPIO DE JOCOTEPEC, JALISCO"</v>
      </c>
      <c r="H20" s="1644" t="s">
        <v>4753</v>
      </c>
      <c r="I20" s="3" t="str">
        <f>OBRA!R359</f>
        <v>MUNICIPIO</v>
      </c>
      <c r="J20" s="3" t="s">
        <v>4767</v>
      </c>
      <c r="K20" s="3" t="s">
        <v>67</v>
      </c>
      <c r="L20" s="3" t="s">
        <v>67</v>
      </c>
      <c r="M20" s="1648">
        <f>OBRA!AT359+OBRA!AU359</f>
        <v>185312.5</v>
      </c>
      <c r="N20" s="243">
        <f>'ADMININSTRACIÓN DIR - OBRA'!AF361</f>
        <v>1</v>
      </c>
      <c r="O20" s="243" t="str">
        <f>'ADMININSTRACIÓN DIR - OBRA'!AG361</f>
        <v>LOTE</v>
      </c>
      <c r="P20" s="2" t="s">
        <v>67</v>
      </c>
      <c r="Q20" s="2"/>
    </row>
    <row r="21" spans="1:17" ht="63" customHeight="1">
      <c r="A21" s="1"/>
      <c r="B21" s="1646"/>
      <c r="C21" s="1" t="str">
        <f>OBRA!CE360</f>
        <v>2018-2021</v>
      </c>
      <c r="D21" s="1">
        <f>OBRA!K360</f>
        <v>2019</v>
      </c>
      <c r="E21" s="1644"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44" t="s">
        <v>4754</v>
      </c>
      <c r="I21" s="3" t="str">
        <f>OBRA!R360</f>
        <v>EL MOLINO</v>
      </c>
      <c r="J21" s="674" t="s">
        <v>4888</v>
      </c>
      <c r="K21" s="3" t="s">
        <v>67</v>
      </c>
      <c r="L21" s="3" t="s">
        <v>67</v>
      </c>
      <c r="M21" s="1648">
        <f>OBRA!AT360+OBRA!AU360</f>
        <v>615186.80000000005</v>
      </c>
      <c r="N21" s="243">
        <f>'ADMININSTRACIÓN DIR - OBRA'!AF362</f>
        <v>1</v>
      </c>
      <c r="O21" s="243" t="str">
        <f>'ADMININSTRACIÓN DIR - OBRA'!AG362</f>
        <v>POZO</v>
      </c>
      <c r="P21" s="2" t="s">
        <v>67</v>
      </c>
      <c r="Q21" s="2"/>
    </row>
    <row r="22" spans="1:17" ht="60">
      <c r="A22" s="1"/>
      <c r="B22" s="1646"/>
      <c r="C22" s="1" t="str">
        <f>OBRA!CE361</f>
        <v>2018-2021</v>
      </c>
      <c r="D22" s="1">
        <f>OBRA!K361</f>
        <v>2019</v>
      </c>
      <c r="E22" s="1644"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44" t="s">
        <v>4755</v>
      </c>
      <c r="I22" s="3" t="str">
        <f>OBRA!R361</f>
        <v>EL MOLINO</v>
      </c>
      <c r="J22" s="3" t="s">
        <v>4101</v>
      </c>
      <c r="K22" s="3" t="s">
        <v>67</v>
      </c>
      <c r="L22" s="3" t="s">
        <v>67</v>
      </c>
      <c r="M22" s="1648">
        <f>OBRA!AT361+OBRA!AU361</f>
        <v>630687.37</v>
      </c>
      <c r="N22" s="243">
        <f>'ADMININSTRACIÓN DIR - OBRA'!AF363</f>
        <v>2787.77</v>
      </c>
      <c r="O22" s="243" t="str">
        <f>'ADMININSTRACIÓN DIR - OBRA'!AG363</f>
        <v>M2</v>
      </c>
      <c r="P22" s="2" t="s">
        <v>67</v>
      </c>
      <c r="Q22" s="2"/>
    </row>
    <row r="23" spans="1:17" ht="45">
      <c r="A23" s="1"/>
      <c r="B23" s="1646"/>
      <c r="C23" s="1" t="str">
        <f>OBRA!CE362</f>
        <v>2018-2021</v>
      </c>
      <c r="D23" s="1">
        <f>OBRA!K362</f>
        <v>2019</v>
      </c>
      <c r="E23" s="1644" t="str">
        <f>OBRA!P362</f>
        <v>ADMINISTRACIÓN DIRECTA</v>
      </c>
      <c r="F23" s="1305" t="str">
        <f>OBRA!O362</f>
        <v>DOP/AD/010/2019</v>
      </c>
      <c r="G23" s="3" t="str">
        <f>OBRA!Q362</f>
        <v>"CONSTRUCCIÓN DE LÍNEAS HIDROSANITARIAS EN CALLE EXTRAMUROS DE PRIVADA A CARRETERA," EN SAN PEDRO TESISTAN, DEL MUNICIPIO DE JOCOTEPEC, JALISCO.</v>
      </c>
      <c r="H23" s="1644" t="s">
        <v>4756</v>
      </c>
      <c r="I23" s="3" t="str">
        <f>OBRA!R362</f>
        <v>SAN PEDRO TESISTÁN</v>
      </c>
      <c r="J23" s="3" t="s">
        <v>4768</v>
      </c>
      <c r="K23" s="3" t="s">
        <v>4769</v>
      </c>
      <c r="L23" s="3" t="s">
        <v>4770</v>
      </c>
      <c r="M23" s="1648">
        <f>OBRA!AT362+OBRA!AU362</f>
        <v>445239.22</v>
      </c>
      <c r="N23" s="243">
        <f>'ADMININSTRACIÓN DIR - OBRA'!AF364</f>
        <v>351</v>
      </c>
      <c r="O23" s="243" t="str">
        <f>'ADMININSTRACIÓN DIR - OBRA'!AG364</f>
        <v>ML</v>
      </c>
      <c r="P23" s="1305" t="s">
        <v>4977</v>
      </c>
      <c r="Q23" s="2" t="s">
        <v>4978</v>
      </c>
    </row>
    <row r="24" spans="1:17" ht="60">
      <c r="A24" s="1"/>
      <c r="B24" s="1646"/>
      <c r="C24" s="1" t="str">
        <f>OBRA!CE363</f>
        <v>2018-2021</v>
      </c>
      <c r="D24" s="1">
        <f>OBRA!K363</f>
        <v>2019</v>
      </c>
      <c r="E24" s="1644"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44" t="s">
        <v>4757</v>
      </c>
      <c r="I24" s="3" t="str">
        <f>OBRA!R363</f>
        <v>CABECERA MUNICIPAL</v>
      </c>
      <c r="J24" s="3" t="s">
        <v>2622</v>
      </c>
      <c r="K24" s="3" t="s">
        <v>4771</v>
      </c>
      <c r="L24" s="3" t="s">
        <v>4772</v>
      </c>
      <c r="M24" s="1648">
        <f>OBRA!AT363+OBRA!AU363</f>
        <v>660663.76</v>
      </c>
      <c r="N24" s="243">
        <f>'ADMININSTRACIÓN DIR - OBRA'!AF365</f>
        <v>208.14</v>
      </c>
      <c r="O24" s="243" t="str">
        <f>'ADMININSTRACIÓN DIR - OBRA'!AG365</f>
        <v>ML</v>
      </c>
      <c r="P24" s="1305"/>
      <c r="Q24" s="2"/>
    </row>
    <row r="25" spans="1:17" ht="60">
      <c r="A25" s="1"/>
      <c r="B25" s="1646"/>
      <c r="C25" s="1" t="str">
        <f>OBRA!CE364</f>
        <v>2018-2021</v>
      </c>
      <c r="D25" s="1">
        <f>OBRA!K364</f>
        <v>2019</v>
      </c>
      <c r="E25" s="1644"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44" t="s">
        <v>4758</v>
      </c>
      <c r="I25" s="3" t="str">
        <f>OBRA!R364</f>
        <v>CABECERA MUNICIPAL</v>
      </c>
      <c r="J25" s="3" t="s">
        <v>2622</v>
      </c>
      <c r="K25" s="3" t="s">
        <v>4771</v>
      </c>
      <c r="L25" s="3" t="s">
        <v>4772</v>
      </c>
      <c r="M25" s="1648">
        <f>OBRA!AT364+OBRA!AU364</f>
        <v>885994.40999999992</v>
      </c>
      <c r="N25" s="243">
        <f>'ADMININSTRACIÓN DIR - OBRA'!AF366</f>
        <v>208.14</v>
      </c>
      <c r="O25" s="243" t="str">
        <f>'ADMININSTRACIÓN DIR - OBRA'!AG366</f>
        <v>ML</v>
      </c>
      <c r="P25" s="1305"/>
      <c r="Q25" s="2"/>
    </row>
    <row r="26" spans="1:17" ht="79.5" customHeight="1">
      <c r="A26" s="1"/>
      <c r="B26" s="1646"/>
      <c r="C26" s="1" t="str">
        <f>OBRA!CE365</f>
        <v>2018-2021</v>
      </c>
      <c r="D26" s="1">
        <f>OBRA!K365</f>
        <v>2019</v>
      </c>
      <c r="E26" s="1644"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44" t="s">
        <v>4757</v>
      </c>
      <c r="I26" s="3" t="str">
        <f>OBRA!R365</f>
        <v>SAN JUAN COSALÁ</v>
      </c>
      <c r="J26" s="3" t="s">
        <v>2639</v>
      </c>
      <c r="K26" s="3" t="s">
        <v>4773</v>
      </c>
      <c r="L26" s="3" t="s">
        <v>2603</v>
      </c>
      <c r="M26" s="1648">
        <f>OBRA!AT365+OBRA!AU365</f>
        <v>238710.43</v>
      </c>
      <c r="N26" s="243">
        <f>'ADMININSTRACIÓN DIR - OBRA'!AF367</f>
        <v>0</v>
      </c>
      <c r="O26" s="243" t="str">
        <f>'ADMININSTRACIÓN DIR - OBRA'!AG367</f>
        <v>PIEZAS</v>
      </c>
      <c r="P26" s="2"/>
      <c r="Q26" s="2"/>
    </row>
    <row r="27" spans="1:17" ht="75">
      <c r="A27" s="1"/>
      <c r="B27" s="1646"/>
      <c r="C27" s="1" t="str">
        <f>OBRA!CE366</f>
        <v>2018-2021</v>
      </c>
      <c r="D27" s="1">
        <f>OBRA!K366</f>
        <v>2019</v>
      </c>
      <c r="E27" s="1644"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44" t="s">
        <v>4758</v>
      </c>
      <c r="I27" s="3" t="str">
        <f>OBRA!R366</f>
        <v>SAN JUAN COSALÁ</v>
      </c>
      <c r="J27" s="3" t="s">
        <v>2639</v>
      </c>
      <c r="K27" s="3" t="s">
        <v>4773</v>
      </c>
      <c r="L27" s="3" t="s">
        <v>2603</v>
      </c>
      <c r="M27" s="1648">
        <f>OBRA!AT366+OBRA!AU366</f>
        <v>239516.18</v>
      </c>
      <c r="N27" s="243">
        <f>'ADMININSTRACIÓN DIR - OBRA'!AF368</f>
        <v>54</v>
      </c>
      <c r="O27" s="243" t="str">
        <f>'ADMININSTRACIÓN DIR - OBRA'!AG368</f>
        <v>PIEZAS</v>
      </c>
      <c r="P27" s="2"/>
      <c r="Q27" s="2"/>
    </row>
    <row r="28" spans="1:17" ht="77.25" customHeight="1">
      <c r="A28" s="1"/>
      <c r="B28" s="1646"/>
      <c r="C28" s="1" t="str">
        <f>OBRA!CE367</f>
        <v>2018-2021</v>
      </c>
      <c r="D28" s="1">
        <f>OBRA!K367</f>
        <v>2019</v>
      </c>
      <c r="E28" s="1644"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44" t="s">
        <v>4757</v>
      </c>
      <c r="I28" s="3" t="str">
        <f>OBRA!R367</f>
        <v>SAN JUAN COSALÁ</v>
      </c>
      <c r="J28" s="3" t="s">
        <v>2639</v>
      </c>
      <c r="K28" s="3" t="s">
        <v>4773</v>
      </c>
      <c r="L28" s="3" t="s">
        <v>2603</v>
      </c>
      <c r="M28" s="1648">
        <f>OBRA!AT367+OBRA!AU367</f>
        <v>718023.82000000007</v>
      </c>
      <c r="N28" s="220">
        <f>'ADMININSTRACIÓN DIR - OBRA'!AF369</f>
        <v>0</v>
      </c>
      <c r="O28" s="243" t="str">
        <f>'ADMININSTRACIÓN DIR - OBRA'!AG369</f>
        <v>ML</v>
      </c>
      <c r="P28" s="2"/>
      <c r="Q28" s="2"/>
    </row>
    <row r="29" spans="1:17" hidden="1">
      <c r="A29" s="1"/>
      <c r="B29" s="1"/>
      <c r="C29" s="1" t="str">
        <f>OBRA!CE368</f>
        <v>2018-2021</v>
      </c>
      <c r="D29" s="1">
        <f>OBRA!K368</f>
        <v>2019</v>
      </c>
      <c r="E29" s="1644" t="str">
        <f>OBRA!P368</f>
        <v>CANCELADA</v>
      </c>
      <c r="F29" s="1644" t="str">
        <f>OBRA!O368</f>
        <v>DOP/AD/016/2019</v>
      </c>
      <c r="G29" s="3">
        <f>OBRA!Q368</f>
        <v>0</v>
      </c>
      <c r="H29" s="1"/>
      <c r="I29" s="3">
        <f>OBRA!R368</f>
        <v>0</v>
      </c>
      <c r="J29" s="3"/>
      <c r="K29" s="3"/>
      <c r="L29" s="3"/>
      <c r="M29" s="1648">
        <f>OBRA!AT368+OBRA!AU368</f>
        <v>0</v>
      </c>
      <c r="N29" s="1">
        <f>'ADMININSTRACIÓN DIR - OBRA'!AF370</f>
        <v>1</v>
      </c>
      <c r="O29" s="1">
        <f>'ADMININSTRACIÓN DIR - OBRA'!AG370</f>
        <v>0</v>
      </c>
      <c r="P29" s="1"/>
      <c r="Q29" s="1"/>
    </row>
    <row r="30" spans="1:17" ht="45">
      <c r="A30" s="1"/>
      <c r="B30" s="1646"/>
      <c r="C30" s="1" t="str">
        <f>OBRA!CE369</f>
        <v>2018-2021</v>
      </c>
      <c r="D30" s="1">
        <f>OBRA!K369</f>
        <v>2019</v>
      </c>
      <c r="E30" s="1644" t="str">
        <f>OBRA!P369</f>
        <v>ADMINISTRACIÓN DIRECTA</v>
      </c>
      <c r="F30" s="1305" t="str">
        <f>OBRA!O369</f>
        <v>DOP/AD/017/2019</v>
      </c>
      <c r="G30" s="3" t="str">
        <f>OBRA!Q369</f>
        <v>"CONSTRUCCIÓN DE PUNTO INOCUO DE DESEMBARQUE EN LA CALLE 5 DE MAYO" EN LA LOCALIDAD DE SAN JUAN COSALA, DEL MUNICIPIO DE JOCOTEPEC, JALISCO.</v>
      </c>
      <c r="H30" s="1644" t="s">
        <v>2209</v>
      </c>
      <c r="I30" s="3" t="str">
        <f>OBRA!R369</f>
        <v>SAN JUAN COSALÁ</v>
      </c>
      <c r="J30" s="3" t="s">
        <v>2685</v>
      </c>
      <c r="K30" s="3" t="s">
        <v>2538</v>
      </c>
      <c r="L30" s="3" t="s">
        <v>4770</v>
      </c>
      <c r="M30" s="1648">
        <f>OBRA!AT369+OBRA!AU369</f>
        <v>737048.95</v>
      </c>
      <c r="N30" s="243">
        <f>'ADMININSTRACIÓN DIR - OBRA'!AF371</f>
        <v>117.68</v>
      </c>
      <c r="O30" s="243" t="str">
        <f>'ADMININSTRACIÓN DIR - OBRA'!AG371</f>
        <v>M2</v>
      </c>
      <c r="P30" s="2" t="s">
        <v>67</v>
      </c>
      <c r="Q30" s="2"/>
    </row>
    <row r="31" spans="1:17" ht="45">
      <c r="A31" s="1"/>
      <c r="B31" s="1646"/>
      <c r="C31" s="1" t="str">
        <f>OBRA!CE370</f>
        <v>2018-2021</v>
      </c>
      <c r="D31" s="1">
        <f>OBRA!K370</f>
        <v>2019</v>
      </c>
      <c r="E31" s="1644"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44" t="s">
        <v>4748</v>
      </c>
      <c r="I31" s="3" t="str">
        <f>OBRA!R370</f>
        <v>CABECERA MUNICIPAL</v>
      </c>
      <c r="J31" s="3" t="s">
        <v>4830</v>
      </c>
      <c r="K31" s="3" t="s">
        <v>4773</v>
      </c>
      <c r="L31" s="3" t="s">
        <v>2545</v>
      </c>
      <c r="M31" s="1648">
        <f>OBRA!AT370+OBRA!AU370</f>
        <v>108738.26999999999</v>
      </c>
      <c r="N31" s="243">
        <f>'ADMININSTRACIÓN DIR - OBRA'!AF372</f>
        <v>204</v>
      </c>
      <c r="O31" s="243" t="str">
        <f>'ADMININSTRACIÓN DIR - OBRA'!AG372</f>
        <v>ML</v>
      </c>
      <c r="P31" s="2" t="s">
        <v>4945</v>
      </c>
      <c r="Q31" s="2"/>
    </row>
    <row r="32" spans="1:17" hidden="1">
      <c r="A32" s="1"/>
      <c r="B32" s="1"/>
      <c r="C32" s="1" t="str">
        <f>OBRA!CE371</f>
        <v>2018-2021</v>
      </c>
      <c r="D32" s="1">
        <f>OBRA!K371</f>
        <v>2019</v>
      </c>
      <c r="E32" s="1644" t="str">
        <f>OBRA!P371</f>
        <v>CANCELADA</v>
      </c>
      <c r="F32" s="1644" t="str">
        <f>OBRA!O371</f>
        <v>DOP/AD/019/2019</v>
      </c>
      <c r="G32" s="3">
        <f>OBRA!Q371</f>
        <v>0</v>
      </c>
      <c r="H32" s="1"/>
      <c r="I32" s="3">
        <f>OBRA!R371</f>
        <v>0</v>
      </c>
      <c r="J32" s="3"/>
      <c r="K32" s="3"/>
      <c r="L32" s="3"/>
      <c r="M32" s="1648">
        <f>OBRA!AT371+OBRA!AU371</f>
        <v>0</v>
      </c>
      <c r="N32" s="1">
        <f>'ADMININSTRACIÓN DIR - OBRA'!AF373</f>
        <v>1</v>
      </c>
      <c r="O32" s="1">
        <f>'ADMININSTRACIÓN DIR - OBRA'!AG373</f>
        <v>0</v>
      </c>
      <c r="P32" s="1"/>
      <c r="Q32" s="1"/>
    </row>
    <row r="33" spans="1:17" ht="64.5" customHeight="1">
      <c r="A33" s="1"/>
      <c r="B33" s="1646"/>
      <c r="C33" s="1" t="str">
        <f>OBRA!CE372</f>
        <v>2018-2021</v>
      </c>
      <c r="D33" s="1">
        <f>OBRA!K372</f>
        <v>2019</v>
      </c>
      <c r="E33" s="1644"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44" t="s">
        <v>4748</v>
      </c>
      <c r="I33" s="3" t="str">
        <f>OBRA!R372</f>
        <v>CABECERA MUNICIPAL</v>
      </c>
      <c r="J33" s="3" t="s">
        <v>2545</v>
      </c>
      <c r="K33" s="3" t="s">
        <v>4830</v>
      </c>
      <c r="L33" s="3" t="s">
        <v>4690</v>
      </c>
      <c r="M33" s="1648">
        <f>OBRA!AT372+OBRA!AU372</f>
        <v>15408</v>
      </c>
      <c r="N33" s="243">
        <f>'ADMININSTRACIÓN DIR - OBRA'!AF374</f>
        <v>13</v>
      </c>
      <c r="O33" s="243" t="str">
        <f>'ADMININSTRACIÓN DIR - OBRA'!AG374</f>
        <v>PIEZAS</v>
      </c>
      <c r="P33" s="2"/>
      <c r="Q33" s="2"/>
    </row>
    <row r="34" spans="1:17" ht="60" hidden="1">
      <c r="A34" s="1"/>
      <c r="B34" s="1"/>
      <c r="C34" s="1" t="str">
        <f>OBRA!CE373</f>
        <v>2018-2021</v>
      </c>
      <c r="D34" s="1">
        <f>OBRA!K373</f>
        <v>2019</v>
      </c>
      <c r="E34" s="1644" t="str">
        <f>OBRA!P373</f>
        <v>CANCELADA</v>
      </c>
      <c r="F34" s="1644"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48">
        <f>OBRA!AT373+OBRA!AU373</f>
        <v>0</v>
      </c>
      <c r="N34" s="1">
        <f>'ADMININSTRACIÓN DIR - OBRA'!AF375</f>
        <v>0</v>
      </c>
      <c r="O34" s="1">
        <f>'ADMININSTRACIÓN DIR - OBRA'!AG375</f>
        <v>0</v>
      </c>
      <c r="P34" s="1"/>
      <c r="Q34" s="1"/>
    </row>
    <row r="35" spans="1:17" ht="63" customHeight="1">
      <c r="A35" s="1"/>
      <c r="B35" s="1646"/>
      <c r="C35" s="1" t="str">
        <f>OBRA!CE374</f>
        <v>2018-2021</v>
      </c>
      <c r="D35" s="1">
        <f>OBRA!K374</f>
        <v>2019</v>
      </c>
      <c r="E35" s="1644"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44" t="s">
        <v>4750</v>
      </c>
      <c r="I35" s="3" t="str">
        <f>OBRA!R374</f>
        <v>SAN JUAN COSALÁ</v>
      </c>
      <c r="J35" s="3" t="s">
        <v>2639</v>
      </c>
      <c r="K35" s="3" t="s">
        <v>4774</v>
      </c>
      <c r="L35" s="3" t="s">
        <v>2531</v>
      </c>
      <c r="M35" s="1648">
        <f>OBRA!AT374+OBRA!AU374</f>
        <v>232635.88</v>
      </c>
      <c r="N35" s="220">
        <f>'ADMININSTRACIÓN DIR - OBRA'!AF376</f>
        <v>0</v>
      </c>
      <c r="O35" s="243" t="str">
        <f>'ADMININSTRACIÓN DIR - OBRA'!AG376</f>
        <v>ML</v>
      </c>
      <c r="P35" s="2"/>
      <c r="Q35" s="2"/>
    </row>
    <row r="36" spans="1:17" hidden="1">
      <c r="A36" s="1"/>
      <c r="B36" s="1"/>
      <c r="C36" s="1" t="str">
        <f>OBRA!CE375</f>
        <v>2018-2021</v>
      </c>
      <c r="D36" s="1">
        <f>OBRA!K375</f>
        <v>2019</v>
      </c>
      <c r="E36" s="1644" t="str">
        <f>OBRA!P375</f>
        <v>CANCELADA</v>
      </c>
      <c r="F36" s="1644" t="str">
        <f>OBRA!O375</f>
        <v>DOP/AD/023/2019</v>
      </c>
      <c r="G36" s="3">
        <f>OBRA!Q375</f>
        <v>0</v>
      </c>
      <c r="H36" s="1"/>
      <c r="I36" s="3">
        <f>OBRA!R375</f>
        <v>0</v>
      </c>
      <c r="J36" s="3"/>
      <c r="K36" s="3"/>
      <c r="L36" s="3"/>
      <c r="M36" s="1648">
        <f>OBRA!AT375+OBRA!AU375</f>
        <v>0</v>
      </c>
      <c r="N36" s="1">
        <f>'ADMININSTRACIÓN DIR - OBRA'!AF377</f>
        <v>1</v>
      </c>
      <c r="O36" s="1">
        <f>'ADMININSTRACIÓN DIR - OBRA'!AG377</f>
        <v>0</v>
      </c>
      <c r="P36" s="1"/>
      <c r="Q36" s="1"/>
    </row>
    <row r="37" spans="1:17" ht="62.25" customHeight="1">
      <c r="A37" s="1"/>
      <c r="B37" s="1646"/>
      <c r="C37" s="1" t="str">
        <f>OBRA!CE376</f>
        <v>2018-2021</v>
      </c>
      <c r="D37" s="1">
        <f>OBRA!K376</f>
        <v>2019</v>
      </c>
      <c r="E37" s="1644" t="str">
        <f>OBRA!P376</f>
        <v>ADMINISTRACIÓN DIRECTA</v>
      </c>
      <c r="F37" s="1305" t="str">
        <f>OBRA!O376</f>
        <v>DOP/AD/024/2019</v>
      </c>
      <c r="G37" s="3" t="str">
        <f>OBRA!Q376</f>
        <v>"CONSTRUCCIÓN DE BANQUETAS 2DA. ETAPA EN LA CALLE MORELOS", EN LA LOCALIDAD DE CHANTEPEC, DEL MUNICIPIO DE JOCOTEPEC, JALISCO.</v>
      </c>
      <c r="H37" s="1644" t="s">
        <v>4751</v>
      </c>
      <c r="I37" s="3" t="str">
        <f>OBRA!R376</f>
        <v>CHANTEPEC</v>
      </c>
      <c r="J37" s="3" t="s">
        <v>2491</v>
      </c>
      <c r="K37" s="3" t="s">
        <v>2540</v>
      </c>
      <c r="L37" s="3" t="s">
        <v>67</v>
      </c>
      <c r="M37" s="1648">
        <f>OBRA!AT376+OBRA!AU376</f>
        <v>11470</v>
      </c>
      <c r="N37" s="243">
        <f>'ADMININSTRACIÓN DIR - OBRA'!AF378</f>
        <v>19.239999999999998</v>
      </c>
      <c r="O37" s="243" t="str">
        <f>'ADMININSTRACIÓN DIR - OBRA'!AG378</f>
        <v>M2</v>
      </c>
      <c r="P37" s="1305" t="s">
        <v>4979</v>
      </c>
      <c r="Q37" s="2"/>
    </row>
    <row r="38" spans="1:17" hidden="1">
      <c r="A38" s="1"/>
      <c r="B38" s="1"/>
      <c r="C38" s="1" t="str">
        <f>OBRA!CE377</f>
        <v>2018-2021</v>
      </c>
      <c r="D38" s="1">
        <f>OBRA!K377</f>
        <v>2019</v>
      </c>
      <c r="E38" s="1644" t="str">
        <f>OBRA!P377</f>
        <v>CANCELADA</v>
      </c>
      <c r="F38" s="1644" t="str">
        <f>OBRA!O377</f>
        <v>DOP/AD/025/2019</v>
      </c>
      <c r="G38" s="3">
        <f>OBRA!Q377</f>
        <v>0</v>
      </c>
      <c r="H38" s="1"/>
      <c r="I38" s="3">
        <f>OBRA!R377</f>
        <v>0</v>
      </c>
      <c r="J38" s="3"/>
      <c r="K38" s="3"/>
      <c r="L38" s="3"/>
      <c r="M38" s="1648">
        <f>OBRA!AT377+OBRA!AU377</f>
        <v>0</v>
      </c>
      <c r="N38" s="1">
        <f>'ADMININSTRACIÓN DIR - OBRA'!AF379</f>
        <v>1</v>
      </c>
      <c r="O38" s="1">
        <f>'ADMININSTRACIÓN DIR - OBRA'!AG379</f>
        <v>0</v>
      </c>
      <c r="P38" s="1"/>
      <c r="Q38" s="1"/>
    </row>
    <row r="39" spans="1:17" ht="45" hidden="1">
      <c r="A39" s="1"/>
      <c r="B39" s="1"/>
      <c r="C39" s="1" t="str">
        <f>OBRA!CE378</f>
        <v>2018-2021</v>
      </c>
      <c r="D39" s="1">
        <f>OBRA!K378</f>
        <v>2019</v>
      </c>
      <c r="E39" s="1644" t="str">
        <f>OBRA!P378</f>
        <v>ADQUISICIÓN</v>
      </c>
      <c r="F39" s="1644"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48" t="e">
        <f>OBRA!AT378+OBRA!AU378</f>
        <v>#VALUE!</v>
      </c>
      <c r="N39" s="1">
        <f>'ADMININSTRACIÓN DIR - OBRA'!AF380</f>
        <v>1</v>
      </c>
      <c r="O39" s="1" t="str">
        <f>'ADMININSTRACIÓN DIR - OBRA'!AG380</f>
        <v>PIEZAS</v>
      </c>
      <c r="P39" s="1"/>
      <c r="Q39" s="1"/>
    </row>
    <row r="40" spans="1:17" ht="30" hidden="1">
      <c r="A40" s="1"/>
      <c r="B40" s="1"/>
      <c r="C40" s="1" t="str">
        <f>OBRA!CE379</f>
        <v>2018-2021</v>
      </c>
      <c r="D40" s="1">
        <f>OBRA!K379</f>
        <v>2019</v>
      </c>
      <c r="E40" s="1644" t="str">
        <f>OBRA!P379</f>
        <v>ADQUISICIÓN</v>
      </c>
      <c r="F40" s="1644" t="str">
        <f>OBRA!O379</f>
        <v>PID/2019 - NEXTIPAC</v>
      </c>
      <c r="G40" s="3" t="str">
        <f>OBRA!Q379</f>
        <v>ADQUISICIÓN DE: UN MUELLE FLOTANTE Y ESTACIÓN DE RECICLADO, PARA LA LOCALIDAD DE NEXTIPAC.</v>
      </c>
      <c r="H40" s="1"/>
      <c r="I40" s="3" t="str">
        <f>OBRA!R379</f>
        <v>NEXTIPAC</v>
      </c>
      <c r="J40" s="3"/>
      <c r="K40" s="3"/>
      <c r="L40" s="3"/>
      <c r="M40" s="1648">
        <f>OBRA!AT379+OBRA!AU379</f>
        <v>256520.08</v>
      </c>
      <c r="N40" s="1">
        <f>'ADMININSTRACIÓN DIR - OBRA'!AF381</f>
        <v>1</v>
      </c>
      <c r="O40" s="1" t="str">
        <f>'ADMININSTRACIÓN DIR - OBRA'!AG381</f>
        <v>LOTE</v>
      </c>
      <c r="P40" s="1"/>
      <c r="Q40" s="1"/>
    </row>
    <row r="41" spans="1:17" ht="30" hidden="1">
      <c r="A41" s="1"/>
      <c r="B41" s="1"/>
      <c r="C41" s="1" t="str">
        <f>OBRA!CE380</f>
        <v>2018-2021</v>
      </c>
      <c r="D41" s="1">
        <f>OBRA!K380</f>
        <v>2019</v>
      </c>
      <c r="E41" s="1644" t="str">
        <f>OBRA!P380</f>
        <v>ADQUISICIÓN</v>
      </c>
      <c r="F41" s="1644" t="str">
        <f>OBRA!O380</f>
        <v>PID/2019 - SJC</v>
      </c>
      <c r="G41" s="3" t="str">
        <f>OBRA!Q380</f>
        <v>ADQUISICIÓN DE: UN MUELLE FLOTANTE Y ESTACIÓN DE RECICLADO, PARA LA LOCALIDAD DE SAN JUAN CÓSALA.</v>
      </c>
      <c r="H41" s="1"/>
      <c r="I41" s="3" t="str">
        <f>OBRA!R380</f>
        <v>SAN JUAN COSALÁ</v>
      </c>
      <c r="J41" s="3"/>
      <c r="K41" s="3"/>
      <c r="L41" s="3"/>
      <c r="M41" s="1648">
        <f>OBRA!AT380+OBRA!AU380</f>
        <v>256520.08</v>
      </c>
      <c r="N41" s="1">
        <f>'ADMININSTRACIÓN DIR - OBRA'!AF382</f>
        <v>1</v>
      </c>
      <c r="O41" s="1" t="str">
        <f>'ADMININSTRACIÓN DIR - OBRA'!AG382</f>
        <v>LOTE</v>
      </c>
      <c r="P41" s="1"/>
      <c r="Q41" s="1"/>
    </row>
    <row r="42" spans="1:17" ht="45" hidden="1">
      <c r="A42" s="1"/>
      <c r="B42" s="1"/>
      <c r="C42" s="1" t="str">
        <f>OBRA!CE381</f>
        <v>2018-2021</v>
      </c>
      <c r="D42" s="1">
        <f>OBRA!K381</f>
        <v>2019</v>
      </c>
      <c r="E42" s="1644" t="str">
        <f>OBRA!P381</f>
        <v>ARRENDAMIENTO</v>
      </c>
      <c r="F42" s="1644"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48">
        <f>OBRA!AT381+OBRA!AU381</f>
        <v>0</v>
      </c>
      <c r="N42" s="1" t="str">
        <f>'ADMININSTRACIÓN DIR - OBRA'!AF383</f>
        <v>N/A</v>
      </c>
      <c r="O42" s="1" t="str">
        <f>'ADMININSTRACIÓN DIR - OBRA'!AG383</f>
        <v>N/A</v>
      </c>
      <c r="P42" s="1"/>
      <c r="Q42" s="1"/>
    </row>
    <row r="43" spans="1:17" ht="75" hidden="1">
      <c r="A43" s="1"/>
      <c r="B43" s="1"/>
      <c r="C43" s="1" t="str">
        <f>OBRA!CE382</f>
        <v>2018-2021</v>
      </c>
      <c r="D43" s="1">
        <f>OBRA!K382</f>
        <v>2019</v>
      </c>
      <c r="E43" s="1644" t="str">
        <f>OBRA!P382</f>
        <v>SERVICIOS</v>
      </c>
      <c r="F43" s="1644"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48">
        <f>OBRA!AT382+OBRA!AU382</f>
        <v>0</v>
      </c>
      <c r="N43" s="1" t="str">
        <f>'ADMININSTRACIÓN DIR - OBRA'!AF384</f>
        <v>N/A</v>
      </c>
      <c r="O43" s="1" t="str">
        <f>'ADMININSTRACIÓN DIR - OBRA'!AG384</f>
        <v>N/A</v>
      </c>
      <c r="P43" s="1"/>
      <c r="Q43" s="1"/>
    </row>
    <row r="44" spans="1:17" ht="75">
      <c r="A44" s="1"/>
      <c r="B44" s="1646"/>
      <c r="C44" s="1" t="str">
        <f>OBRA!CE383</f>
        <v>2018-2021</v>
      </c>
      <c r="D44" s="1">
        <f>OBRA!K383</f>
        <v>2019</v>
      </c>
      <c r="E44" s="1644"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44" t="s">
        <v>4759</v>
      </c>
      <c r="I44" s="3" t="str">
        <f>OBRA!R383</f>
        <v>SAN JUAN COSALÁ</v>
      </c>
      <c r="J44" s="3" t="s">
        <v>2531</v>
      </c>
      <c r="K44" s="3" t="s">
        <v>4782</v>
      </c>
      <c r="L44" s="3" t="s">
        <v>2491</v>
      </c>
      <c r="M44" s="1648">
        <f>OBRA!AT383+OBRA!AU383</f>
        <v>726896.94</v>
      </c>
      <c r="N44" s="243">
        <f>'ADMININSTRACIÓN DIR - OBRA'!AF385</f>
        <v>100.55</v>
      </c>
      <c r="O44" s="243" t="str">
        <f>'ADMININSTRACIÓN DIR - OBRA'!AG385</f>
        <v>ML</v>
      </c>
      <c r="P44" s="593" t="s">
        <v>4980</v>
      </c>
      <c r="Q44" s="593" t="s">
        <v>4981</v>
      </c>
    </row>
    <row r="45" spans="1:17" ht="45">
      <c r="A45" s="1"/>
      <c r="B45" s="1646"/>
      <c r="C45" s="1" t="str">
        <f>OBRA!CE384</f>
        <v>2018-2021</v>
      </c>
      <c r="D45" s="1">
        <f>OBRA!K384</f>
        <v>2019</v>
      </c>
      <c r="E45" s="1644" t="str">
        <f>OBRA!P384</f>
        <v>ADJUDICACIÓN DIRECTA</v>
      </c>
      <c r="F45" s="1305" t="str">
        <f>OBRA!O384</f>
        <v>GMJ 002 C-OP/2019</v>
      </c>
      <c r="G45" s="3" t="str">
        <f>OBRA!Q384</f>
        <v>"CONSERVACIÓN Y MANTENIMIENTO INCLUYENTE DE BANQUETA Y ACCESO A HOSPITAL DE URGENCIAS EN LA CABECERA MUNICIPAL DE JOCOTEPEC, JALISCO"</v>
      </c>
      <c r="H45" s="1644" t="s">
        <v>4751</v>
      </c>
      <c r="I45" s="3" t="str">
        <f>OBRA!R384</f>
        <v>CABECERA MUNICIPAL</v>
      </c>
      <c r="J45" s="3" t="s">
        <v>4651</v>
      </c>
      <c r="K45" s="3" t="s">
        <v>4775</v>
      </c>
      <c r="L45" s="3" t="s">
        <v>4776</v>
      </c>
      <c r="M45" s="1648">
        <f>OBRA!AT384+OBRA!AU384</f>
        <v>140099.94</v>
      </c>
      <c r="N45" s="243">
        <f>'ADMININSTRACIÓN DIR - OBRA'!AF386</f>
        <v>295.60000000000002</v>
      </c>
      <c r="O45" s="243" t="str">
        <f>'ADMININSTRACIÓN DIR - OBRA'!AG386</f>
        <v>M2</v>
      </c>
      <c r="P45" s="593" t="s">
        <v>4982</v>
      </c>
      <c r="Q45" s="2"/>
    </row>
    <row r="46" spans="1:17" ht="45" hidden="1">
      <c r="A46" s="1"/>
      <c r="B46" s="1"/>
      <c r="C46" s="1" t="str">
        <f>OBRA!CE385</f>
        <v>2018-2021</v>
      </c>
      <c r="D46" s="1">
        <f>OBRA!K385</f>
        <v>2019</v>
      </c>
      <c r="E46" s="1644" t="str">
        <f>OBRA!P385</f>
        <v>CANCELADA</v>
      </c>
      <c r="F46" s="1644"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48">
        <f>OBRA!AT385+OBRA!AU385</f>
        <v>398930.6</v>
      </c>
      <c r="N46" s="1">
        <f>'ADMININSTRACIÓN DIR - OBRA'!AF387</f>
        <v>138</v>
      </c>
      <c r="O46" s="1" t="str">
        <f>'ADMININSTRACIÓN DIR - OBRA'!AG387</f>
        <v>ML</v>
      </c>
      <c r="P46" s="1"/>
      <c r="Q46" s="1"/>
    </row>
    <row r="47" spans="1:17" ht="50.25" customHeight="1">
      <c r="A47" s="1"/>
      <c r="B47" s="1646"/>
      <c r="C47" s="1" t="str">
        <f>OBRA!CE386</f>
        <v>2018-2021</v>
      </c>
      <c r="D47" s="1">
        <f>OBRA!K386</f>
        <v>2019</v>
      </c>
      <c r="E47" s="1644" t="str">
        <f>OBRA!P386</f>
        <v>ADJUDICACIÓN DIRECTA</v>
      </c>
      <c r="F47" s="1305" t="str">
        <f>OBRA!O386</f>
        <v>GMJ 004 C-OP/2019</v>
      </c>
      <c r="G47" s="3" t="str">
        <f>OBRA!Q386</f>
        <v>"CONSTRUCCIÓN DE BANQUETAS EN CALLE CUAUHTÉMOC, DELEGACIÓN DEL CHANTE, MUNICIPIO DE JOCOTEPEC, JALISCO</v>
      </c>
      <c r="H47" s="1644" t="s">
        <v>4751</v>
      </c>
      <c r="I47" s="3" t="str">
        <f>OBRA!R386</f>
        <v>CHANTEPEC</v>
      </c>
      <c r="J47" s="3" t="s">
        <v>4777</v>
      </c>
      <c r="K47" s="674" t="s">
        <v>5421</v>
      </c>
      <c r="L47" s="674" t="s">
        <v>2636</v>
      </c>
      <c r="M47" s="1648">
        <f>OBRA!AT386+OBRA!AU386</f>
        <v>148378.85</v>
      </c>
      <c r="N47" s="243">
        <f>'ADMININSTRACIÓN DIR - OBRA'!AF388</f>
        <v>240</v>
      </c>
      <c r="O47" s="243" t="str">
        <f>'ADMININSTRACIÓN DIR - OBRA'!AG388</f>
        <v>M2</v>
      </c>
      <c r="P47" s="1305" t="s">
        <v>4983</v>
      </c>
      <c r="Q47" s="2"/>
    </row>
    <row r="48" spans="1:17" ht="60">
      <c r="A48" s="1"/>
      <c r="B48" s="1646"/>
      <c r="C48" s="1" t="str">
        <f>OBRA!CE387</f>
        <v>2018-2021</v>
      </c>
      <c r="D48" s="1">
        <f>OBRA!K387</f>
        <v>2019</v>
      </c>
      <c r="E48" s="1644"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44" t="s">
        <v>4757</v>
      </c>
      <c r="I48" s="3" t="str">
        <f>OBRA!R387</f>
        <v>CABECERA MUNICIPAL</v>
      </c>
      <c r="J48" s="3" t="s">
        <v>2690</v>
      </c>
      <c r="K48" s="3" t="s">
        <v>4773</v>
      </c>
      <c r="L48" s="3" t="s">
        <v>2551</v>
      </c>
      <c r="M48" s="1648">
        <f>OBRA!AT387+OBRA!AU387</f>
        <v>554784.07999999996</v>
      </c>
      <c r="N48" s="243">
        <f>'ADMININSTRACIÓN DIR - OBRA'!AF389</f>
        <v>98.47</v>
      </c>
      <c r="O48" s="243" t="str">
        <f>'ADMININSTRACIÓN DIR - OBRA'!AG389</f>
        <v>ML</v>
      </c>
      <c r="P48" s="2" t="s">
        <v>4984</v>
      </c>
      <c r="Q48" s="2"/>
    </row>
    <row r="49" spans="1:17" ht="75" customHeight="1">
      <c r="A49" s="1"/>
      <c r="B49" s="1646"/>
      <c r="C49" s="1" t="str">
        <f>OBRA!CE388</f>
        <v>2018-2021</v>
      </c>
      <c r="D49" s="1">
        <f>OBRA!K388</f>
        <v>2019</v>
      </c>
      <c r="E49" s="1644"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44" t="s">
        <v>4758</v>
      </c>
      <c r="I49" s="3" t="str">
        <f>OBRA!R388</f>
        <v>CABECERA MUNICIPAL</v>
      </c>
      <c r="J49" s="3" t="s">
        <v>2690</v>
      </c>
      <c r="K49" s="3" t="s">
        <v>4773</v>
      </c>
      <c r="L49" s="3" t="s">
        <v>2551</v>
      </c>
      <c r="M49" s="1648">
        <f>OBRA!AT388+OBRA!AU388</f>
        <v>569953.75</v>
      </c>
      <c r="N49" s="243">
        <f>'ADMININSTRACIÓN DIR - OBRA'!AF390</f>
        <v>104.3</v>
      </c>
      <c r="O49" s="243" t="str">
        <f>'ADMININSTRACIÓN DIR - OBRA'!AG390</f>
        <v>ML</v>
      </c>
      <c r="P49" s="2" t="s">
        <v>4985</v>
      </c>
      <c r="Q49" s="2"/>
    </row>
    <row r="50" spans="1:17" ht="45" hidden="1">
      <c r="A50" s="1"/>
      <c r="B50" s="1"/>
      <c r="C50" s="1" t="str">
        <f>OBRA!CE389</f>
        <v>2018-2021</v>
      </c>
      <c r="D50" s="1">
        <f>OBRA!K389</f>
        <v>2019</v>
      </c>
      <c r="E50" s="1644" t="str">
        <f>OBRA!P389</f>
        <v>CANCELADA</v>
      </c>
      <c r="F50" s="1644"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48">
        <f>OBRA!AT389+OBRA!AU389</f>
        <v>949738.6</v>
      </c>
      <c r="N50" s="1">
        <f>'ADMININSTRACIÓN DIR - OBRA'!AF391</f>
        <v>1050</v>
      </c>
      <c r="O50" s="1" t="str">
        <f>'ADMININSTRACIÓN DIR - OBRA'!AG391</f>
        <v>M2</v>
      </c>
      <c r="P50" s="1"/>
      <c r="Q50" s="1"/>
    </row>
    <row r="51" spans="1:17" ht="45">
      <c r="A51" s="1"/>
      <c r="B51" s="1646"/>
      <c r="C51" s="1" t="str">
        <f>OBRA!CE390</f>
        <v>2018-2021</v>
      </c>
      <c r="D51" s="1">
        <f>OBRA!K390</f>
        <v>2019</v>
      </c>
      <c r="E51" s="1644" t="str">
        <f>OBRA!P390</f>
        <v>ADJUDICACIÓN DIRECTA</v>
      </c>
      <c r="F51" s="1305" t="str">
        <f>OBRA!O390</f>
        <v>GMJ 008 C-OP/2019</v>
      </c>
      <c r="G51" s="3" t="str">
        <f>OBRA!Q390</f>
        <v>"CONSTRUCCION DE DEPOSITO PARA ALMACENAMIENTO DE AGUA POTABLE", EN LA LOCALIDAD DE HUEJOTITAN, MUNICIPIO DE JOCOTEPEC, JALISCO.</v>
      </c>
      <c r="H51" s="1644" t="s">
        <v>4748</v>
      </c>
      <c r="I51" s="3" t="str">
        <f>OBRA!R390</f>
        <v>HUEJOTITÁN</v>
      </c>
      <c r="J51" s="3" t="s">
        <v>4778</v>
      </c>
      <c r="K51" s="3" t="s">
        <v>67</v>
      </c>
      <c r="L51" s="3" t="s">
        <v>67</v>
      </c>
      <c r="M51" s="1648">
        <f>OBRA!AT390+OBRA!AU390</f>
        <v>707135.33</v>
      </c>
      <c r="N51" s="243">
        <f>'ADMININSTRACIÓN DIR - OBRA'!AF392</f>
        <v>1</v>
      </c>
      <c r="O51" s="243" t="str">
        <f>'ADMININSTRACIÓN DIR - OBRA'!AG392</f>
        <v>LOTE</v>
      </c>
      <c r="P51" s="2" t="s">
        <v>67</v>
      </c>
      <c r="Q51" s="2"/>
    </row>
    <row r="52" spans="1:17" ht="45">
      <c r="A52" s="1"/>
      <c r="B52" s="1646"/>
      <c r="C52" s="1" t="str">
        <f>OBRA!CE391</f>
        <v>2018-2021</v>
      </c>
      <c r="D52" s="1">
        <f>OBRA!K391</f>
        <v>2019</v>
      </c>
      <c r="E52" s="1644" t="str">
        <f>OBRA!P391</f>
        <v>ADJUDICACIÓN DIRECTA</v>
      </c>
      <c r="F52" s="1305" t="str">
        <f>OBRA!O391</f>
        <v>GMJ 009 C-OP/2019</v>
      </c>
      <c r="G52" s="3" t="str">
        <f>OBRA!Q391</f>
        <v>CONSTRUCCIÓN DE PLATAFORMA Y CAMINO DE ACCESO AL PREDIO DEL DEPOSITO DE AGUA EN ZONA NORTE DE LA CABECERA MUNICIPAL DE JOCOTEPEC, JALISCO.</v>
      </c>
      <c r="H52" s="1644" t="s">
        <v>4748</v>
      </c>
      <c r="I52" s="3" t="str">
        <f>OBRA!R391</f>
        <v>CABECERA MUNICIPAL</v>
      </c>
      <c r="J52" s="3" t="s">
        <v>2657</v>
      </c>
      <c r="K52" s="3" t="s">
        <v>67</v>
      </c>
      <c r="L52" s="3" t="s">
        <v>67</v>
      </c>
      <c r="M52" s="1648">
        <f>OBRA!AT391+OBRA!AU391</f>
        <v>413006.4</v>
      </c>
      <c r="N52" s="243">
        <f>'ADMININSTRACIÓN DIR - OBRA'!AF393</f>
        <v>2000</v>
      </c>
      <c r="O52" s="243" t="str">
        <f>'ADMININSTRACIÓN DIR - OBRA'!AG393</f>
        <v>M2</v>
      </c>
      <c r="P52" s="2" t="s">
        <v>67</v>
      </c>
      <c r="Q52" s="2"/>
    </row>
    <row r="53" spans="1:17" ht="45">
      <c r="A53" s="1"/>
      <c r="B53" s="1646"/>
      <c r="C53" s="1" t="str">
        <f>OBRA!CE392</f>
        <v>2018-2021</v>
      </c>
      <c r="D53" s="1">
        <f>OBRA!K392</f>
        <v>2019</v>
      </c>
      <c r="E53" s="1644" t="str">
        <f>OBRA!P392</f>
        <v>ADJUDICACIÓN DIRECTA</v>
      </c>
      <c r="F53" s="1305" t="str">
        <f>OBRA!O392</f>
        <v>GMJ 010 C-OP/2019</v>
      </c>
      <c r="G53" s="3" t="str">
        <f>OBRA!Q392</f>
        <v>"CONSTRUCCIÓN DE DEPOSITO PARA ALMACENAMIENTO DE AGUA POTABLE", EN LA ZONA NORTE DE LA CABECERA MUNICIPAL DE JOCOTEPEC, JALISCO.</v>
      </c>
      <c r="H53" s="1644" t="s">
        <v>4748</v>
      </c>
      <c r="I53" s="3" t="str">
        <f>OBRA!R392</f>
        <v>CABECERA MUNICIPAL</v>
      </c>
      <c r="J53" s="3" t="s">
        <v>2657</v>
      </c>
      <c r="K53" s="3" t="s">
        <v>67</v>
      </c>
      <c r="L53" s="3" t="s">
        <v>67</v>
      </c>
      <c r="M53" s="1648">
        <f>OBRA!AT392+OBRA!AU392</f>
        <v>1661297.6</v>
      </c>
      <c r="N53" s="243">
        <f>'ADMININSTRACIÓN DIR - OBRA'!AF394</f>
        <v>1</v>
      </c>
      <c r="O53" s="243" t="str">
        <f>'ADMININSTRACIÓN DIR - OBRA'!AG394</f>
        <v>LOTE</v>
      </c>
      <c r="P53" s="2" t="s">
        <v>67</v>
      </c>
      <c r="Q53" s="2"/>
    </row>
    <row r="54" spans="1:17" ht="45">
      <c r="A54" s="1"/>
      <c r="B54" s="1646"/>
      <c r="C54" s="1" t="str">
        <f>OBRA!CE393</f>
        <v>2018-2021</v>
      </c>
      <c r="D54" s="1">
        <f>OBRA!K393</f>
        <v>2019</v>
      </c>
      <c r="E54" s="1644" t="str">
        <f>OBRA!P393</f>
        <v>ADJUDICACIÓN DIRECTA</v>
      </c>
      <c r="F54" s="1305" t="str">
        <f>OBRA!O393</f>
        <v>GMJ 011 C-OP/2019</v>
      </c>
      <c r="G54" s="3" t="str">
        <f>OBRA!Q393</f>
        <v>"CONSTRUCCIÓN DE DEPOSITO PARA ALMACENAMIENTO DE AGUA POTABLE", EN LA LOCALIDAD DE SAN CRISTOBAL ZAPOTITLAN, MUNICIPIO DE JOCOTEPEC, JALISCO.</v>
      </c>
      <c r="H54" s="1644" t="s">
        <v>4748</v>
      </c>
      <c r="I54" s="3" t="str">
        <f>OBRA!R393</f>
        <v>SAN CRISTÓBAL ZAPOTITLÁN</v>
      </c>
      <c r="J54" s="674" t="s">
        <v>4889</v>
      </c>
      <c r="K54" s="674" t="s">
        <v>2531</v>
      </c>
      <c r="L54" s="674" t="s">
        <v>4890</v>
      </c>
      <c r="M54" s="1648">
        <f>OBRA!AT393+OBRA!AU393</f>
        <v>643537.42000000004</v>
      </c>
      <c r="N54" s="243">
        <f>'ADMININSTRACIÓN DIR - OBRA'!AF395</f>
        <v>1</v>
      </c>
      <c r="O54" s="243" t="str">
        <f>'ADMININSTRACIÓN DIR - OBRA'!AG395</f>
        <v>LOTE</v>
      </c>
      <c r="P54" s="2" t="s">
        <v>67</v>
      </c>
      <c r="Q54" s="2"/>
    </row>
    <row r="55" spans="1:17" ht="22.5" hidden="1">
      <c r="A55" s="1"/>
      <c r="B55" s="1"/>
      <c r="C55" s="1" t="str">
        <f>OBRA!CE394</f>
        <v>2018-2021</v>
      </c>
      <c r="D55" s="1">
        <f>OBRA!K394</f>
        <v>2019</v>
      </c>
      <c r="E55" s="1644" t="str">
        <f>OBRA!P394</f>
        <v>CANCELADA</v>
      </c>
      <c r="F55" s="1644" t="str">
        <f>OBRA!O394</f>
        <v>GMJ 012 C-OP/2019</v>
      </c>
      <c r="G55" s="3">
        <f>OBRA!Q394</f>
        <v>0</v>
      </c>
      <c r="H55" s="1"/>
      <c r="I55" s="3">
        <f>OBRA!R394</f>
        <v>0</v>
      </c>
      <c r="J55" s="3"/>
      <c r="K55" s="3"/>
      <c r="L55" s="3"/>
      <c r="M55" s="1648">
        <f>OBRA!AT394+OBRA!AU394</f>
        <v>0</v>
      </c>
      <c r="N55" s="1">
        <f>'ADMININSTRACIÓN DIR - OBRA'!AF396</f>
        <v>0</v>
      </c>
      <c r="O55" s="1">
        <f>'ADMININSTRACIÓN DIR - OBRA'!AG396</f>
        <v>0</v>
      </c>
      <c r="P55" s="1"/>
      <c r="Q55" s="1"/>
    </row>
    <row r="56" spans="1:17" ht="45">
      <c r="A56" s="1"/>
      <c r="B56" s="1646"/>
      <c r="C56" s="1" t="str">
        <f>OBRA!CE395</f>
        <v>2018-2021</v>
      </c>
      <c r="D56" s="1">
        <f>OBRA!K395</f>
        <v>2019</v>
      </c>
      <c r="E56" s="1644" t="str">
        <f>OBRA!P395</f>
        <v>ADJUDICACIÓN DIRECTA</v>
      </c>
      <c r="F56" s="1305" t="str">
        <f>OBRA!O395</f>
        <v>GMJ 013 C-OP/2019</v>
      </c>
      <c r="G56" s="3" t="str">
        <f>OBRA!Q395</f>
        <v>"CONSTRUCCIÓN DE EMPEDRADO ECOLOGICO EN LA CALLE PRIVADA MORELOS, DELEGACIÓN DE CHANTE, MUNICIPIO DE JOCOTEPEC, JALISCO".</v>
      </c>
      <c r="H56" s="1644" t="s">
        <v>4755</v>
      </c>
      <c r="I56" s="3" t="str">
        <f>OBRA!R395</f>
        <v>CHANTEPEC</v>
      </c>
      <c r="J56" s="3" t="s">
        <v>2706</v>
      </c>
      <c r="K56" s="3" t="s">
        <v>4700</v>
      </c>
      <c r="L56" s="3" t="s">
        <v>4770</v>
      </c>
      <c r="M56" s="1648">
        <f>OBRA!AT395+OBRA!AU395</f>
        <v>74990.720000000001</v>
      </c>
      <c r="N56" s="243">
        <f>'ADMININSTRACIÓN DIR - OBRA'!AF397</f>
        <v>216</v>
      </c>
      <c r="O56" s="243" t="str">
        <f>'ADMININSTRACIÓN DIR - OBRA'!AG397</f>
        <v>M2</v>
      </c>
      <c r="P56" s="2" t="s">
        <v>67</v>
      </c>
      <c r="Q56" s="2"/>
    </row>
    <row r="57" spans="1:17" ht="55.5" customHeight="1">
      <c r="A57" s="1"/>
      <c r="B57" s="1646"/>
      <c r="C57" s="1" t="str">
        <f>OBRA!CE396</f>
        <v>2018-2021</v>
      </c>
      <c r="D57" s="1">
        <f>OBRA!K396</f>
        <v>2019</v>
      </c>
      <c r="E57" s="1644" t="str">
        <f>OBRA!P396</f>
        <v>ADJUDICACIÓN DIRECTA</v>
      </c>
      <c r="F57" s="1305" t="str">
        <f>OBRA!O396</f>
        <v>GMJ 014 C-OP/2019</v>
      </c>
      <c r="G57" s="3" t="str">
        <f>OBRA!Q396</f>
        <v>"CONSTRUCCIÓN DE BANQUETAS EN CALLE CUAUHTÉMOC, 2ª ETAPA, DELEGACIÓN DEL CHANTE, MUNICIPIO DE JOCOTEPEC, JALISCO</v>
      </c>
      <c r="H57" s="1644" t="s">
        <v>4751</v>
      </c>
      <c r="I57" s="3" t="str">
        <f>OBRA!R396</f>
        <v>CHANTEPEC</v>
      </c>
      <c r="J57" s="3" t="s">
        <v>4777</v>
      </c>
      <c r="K57" s="674" t="s">
        <v>2636</v>
      </c>
      <c r="L57" s="674" t="s">
        <v>5422</v>
      </c>
      <c r="M57" s="1648">
        <f>OBRA!AT396+OBRA!AU396</f>
        <v>185760.77</v>
      </c>
      <c r="N57" s="243">
        <f>'ADMININSTRACIÓN DIR - OBRA'!AF398</f>
        <v>265</v>
      </c>
      <c r="O57" s="243" t="str">
        <f>'ADMININSTRACIÓN DIR - OBRA'!AG398</f>
        <v>M2</v>
      </c>
      <c r="P57" s="1305" t="s">
        <v>4983</v>
      </c>
      <c r="Q57" s="2"/>
    </row>
    <row r="58" spans="1:17" ht="45">
      <c r="A58" s="1"/>
      <c r="B58" s="1646"/>
      <c r="C58" s="1" t="str">
        <f>OBRA!CE397</f>
        <v>2018-2021</v>
      </c>
      <c r="D58" s="1">
        <f>OBRA!K397</f>
        <v>2019</v>
      </c>
      <c r="E58" s="1644" t="str">
        <f>OBRA!P397</f>
        <v>ADJUDICACIÓN DIRECTA</v>
      </c>
      <c r="F58" s="1305" t="str">
        <f>OBRA!O397</f>
        <v>GMJ 015 C-OP/2019</v>
      </c>
      <c r="G58" s="3" t="str">
        <f>OBRA!Q397</f>
        <v>REHABILITACIÓN DE LINEA DE AGUA POTABLE EN LA CALLE PRIVADA CARDENAL DE CARDENAL A CERRADA, EN LA DELEGACIÓN DE SAN JUAN COSALA, JOCOTEPEC, JALISCO.</v>
      </c>
      <c r="H58" s="1644" t="s">
        <v>4748</v>
      </c>
      <c r="I58" s="3" t="str">
        <f>OBRA!R397</f>
        <v>SAN JUAN COSALÁ</v>
      </c>
      <c r="J58" s="3" t="s">
        <v>2715</v>
      </c>
      <c r="K58" s="3" t="s">
        <v>2589</v>
      </c>
      <c r="L58" s="3" t="s">
        <v>4770</v>
      </c>
      <c r="M58" s="1648">
        <f>OBRA!AT397+OBRA!AU397</f>
        <v>74815.27</v>
      </c>
      <c r="N58" s="243">
        <f>'ADMININSTRACIÓN DIR - OBRA'!AF399</f>
        <v>75</v>
      </c>
      <c r="O58" s="243" t="str">
        <f>'ADMININSTRACIÓN DIR - OBRA'!AG399</f>
        <v>ML</v>
      </c>
      <c r="P58" s="2" t="s">
        <v>4986</v>
      </c>
      <c r="Q58" s="2"/>
    </row>
    <row r="59" spans="1:17" ht="60" customHeight="1">
      <c r="A59" s="1"/>
      <c r="B59" s="1646"/>
      <c r="C59" s="1" t="str">
        <f>OBRA!CE398</f>
        <v>2018-2021</v>
      </c>
      <c r="D59" s="1">
        <f>OBRA!K398</f>
        <v>2019</v>
      </c>
      <c r="E59" s="1644"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44" t="s">
        <v>4750</v>
      </c>
      <c r="I59" s="3" t="str">
        <f>OBRA!R398</f>
        <v>SAN JUAN COSALÁ</v>
      </c>
      <c r="J59" s="3" t="s">
        <v>2715</v>
      </c>
      <c r="K59" s="3" t="s">
        <v>2589</v>
      </c>
      <c r="L59" s="3" t="s">
        <v>4770</v>
      </c>
      <c r="M59" s="1648">
        <f>OBRA!AT398+OBRA!AU398</f>
        <v>131515.03</v>
      </c>
      <c r="N59" s="243">
        <f>'ADMININSTRACIÓN DIR - OBRA'!AF400</f>
        <v>80</v>
      </c>
      <c r="O59" s="243" t="str">
        <f>'ADMININSTRACIÓN DIR - OBRA'!AG400</f>
        <v>ML</v>
      </c>
      <c r="P59" s="2" t="s">
        <v>4987</v>
      </c>
      <c r="Q59" s="2"/>
    </row>
    <row r="60" spans="1:17" ht="90.75" customHeight="1">
      <c r="A60" s="1"/>
      <c r="B60" s="1646"/>
      <c r="C60" s="1" t="str">
        <f>OBRA!CE399</f>
        <v>2018-2021</v>
      </c>
      <c r="D60" s="1">
        <f>OBRA!K399</f>
        <v>2019</v>
      </c>
      <c r="E60" s="1644"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44" t="s">
        <v>4758</v>
      </c>
      <c r="I60" s="3" t="str">
        <f>OBRA!R399</f>
        <v>CABECERA MUNICIPAL</v>
      </c>
      <c r="J60" s="3" t="s">
        <v>4830</v>
      </c>
      <c r="K60" s="3" t="s">
        <v>4773</v>
      </c>
      <c r="L60" s="3" t="s">
        <v>2545</v>
      </c>
      <c r="M60" s="1648">
        <f>OBRA!AT399+OBRA!AU399</f>
        <v>997930.57</v>
      </c>
      <c r="N60" s="243">
        <f>'ADMININSTRACIÓN DIR - OBRA'!AF401</f>
        <v>193.9</v>
      </c>
      <c r="O60" s="243" t="str">
        <f>'ADMININSTRACIÓN DIR - OBRA'!AG401</f>
        <v>ML</v>
      </c>
      <c r="P60" s="593" t="s">
        <v>4989</v>
      </c>
      <c r="Q60" s="593" t="s">
        <v>4988</v>
      </c>
    </row>
    <row r="61" spans="1:17" ht="80.25" customHeight="1">
      <c r="A61" s="1"/>
      <c r="B61" s="1646"/>
      <c r="C61" s="1" t="str">
        <f>OBRA!CE400</f>
        <v>2018-2021</v>
      </c>
      <c r="D61" s="1">
        <f>OBRA!K400</f>
        <v>2019</v>
      </c>
      <c r="E61" s="1644"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44" t="s">
        <v>4757</v>
      </c>
      <c r="I61" s="3" t="str">
        <f>OBRA!R400</f>
        <v>CABECERA MUNICIPAL</v>
      </c>
      <c r="J61" s="3" t="s">
        <v>4830</v>
      </c>
      <c r="K61" s="3" t="s">
        <v>4773</v>
      </c>
      <c r="L61" s="3" t="s">
        <v>2545</v>
      </c>
      <c r="M61" s="1648">
        <f>OBRA!AT400+OBRA!AU400</f>
        <v>911481</v>
      </c>
      <c r="N61" s="243">
        <f>'ADMININSTRACIÓN DIR - OBRA'!AF402</f>
        <v>203.26</v>
      </c>
      <c r="O61" s="243" t="str">
        <f>'ADMININSTRACIÓN DIR - OBRA'!AG402</f>
        <v>ML</v>
      </c>
      <c r="P61" s="593" t="s">
        <v>4990</v>
      </c>
      <c r="Q61" s="593" t="s">
        <v>4991</v>
      </c>
    </row>
    <row r="62" spans="1:17" ht="60">
      <c r="A62" s="1"/>
      <c r="B62" s="1646"/>
      <c r="C62" s="1" t="str">
        <f>OBRA!CE401</f>
        <v>2018-2021</v>
      </c>
      <c r="D62" s="1">
        <f>OBRA!K401</f>
        <v>2019</v>
      </c>
      <c r="E62" s="1644"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44" t="s">
        <v>4750</v>
      </c>
      <c r="I62" s="3" t="str">
        <f>OBRA!R401</f>
        <v>SAN JUAN COSALÁ</v>
      </c>
      <c r="J62" s="3" t="s">
        <v>2717</v>
      </c>
      <c r="K62" s="3" t="s">
        <v>2538</v>
      </c>
      <c r="L62" s="3" t="s">
        <v>4770</v>
      </c>
      <c r="M62" s="1648">
        <f>OBRA!AT401+OBRA!AU401</f>
        <v>99707.9</v>
      </c>
      <c r="N62" s="243">
        <f>'ADMININSTRACIÓN DIR - OBRA'!AF403</f>
        <v>50</v>
      </c>
      <c r="O62" s="243" t="str">
        <f>'ADMININSTRACIÓN DIR - OBRA'!AG403</f>
        <v>ML</v>
      </c>
      <c r="P62" s="2" t="s">
        <v>4987</v>
      </c>
      <c r="Q62" s="2"/>
    </row>
    <row r="63" spans="1:17" ht="63" customHeight="1">
      <c r="A63" s="1"/>
      <c r="B63" s="1646"/>
      <c r="C63" s="1" t="str">
        <f>OBRA!CE402</f>
        <v>2018-2021</v>
      </c>
      <c r="D63" s="1">
        <f>OBRA!K402</f>
        <v>2019</v>
      </c>
      <c r="E63" s="1644"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44" t="s">
        <v>4748</v>
      </c>
      <c r="I63" s="3" t="str">
        <f>OBRA!R402</f>
        <v>SAN JUAN COSALÁ</v>
      </c>
      <c r="J63" s="3" t="s">
        <v>2717</v>
      </c>
      <c r="K63" s="3" t="s">
        <v>2538</v>
      </c>
      <c r="L63" s="3" t="s">
        <v>4770</v>
      </c>
      <c r="M63" s="1648">
        <f>OBRA!AT402+OBRA!AU402</f>
        <v>130875.44</v>
      </c>
      <c r="N63" s="243">
        <f>'ADMININSTRACIÓN DIR - OBRA'!AF404</f>
        <v>107.47</v>
      </c>
      <c r="O63" s="243" t="str">
        <f>'ADMININSTRACIÓN DIR - OBRA'!AG404</f>
        <v>ML</v>
      </c>
      <c r="P63" s="2"/>
      <c r="Q63" s="2"/>
    </row>
    <row r="64" spans="1:17" ht="45">
      <c r="A64" s="1"/>
      <c r="B64" s="1646"/>
      <c r="C64" s="1" t="str">
        <f>OBRA!CE403</f>
        <v>2018-2021</v>
      </c>
      <c r="D64" s="1">
        <f>OBRA!K403</f>
        <v>2019</v>
      </c>
      <c r="E64" s="1644" t="str">
        <f>OBRA!P403</f>
        <v>ADJUDICACIÓN DIRECTA</v>
      </c>
      <c r="F64" s="1305" t="str">
        <f>OBRA!O403</f>
        <v>GMJ 020 C-OP/2019</v>
      </c>
      <c r="G64" s="3" t="str">
        <f>OBRA!Q403</f>
        <v>"CONSTRUCCIÓN DE RED DE AGUA POTABLE EN CALLE PRIVADA GUADALUPE VICTORIA DELEGACIÓN DE SAN JUAN COSALA MUNICIPIO DE JOCOTEPEC, JALISCO"</v>
      </c>
      <c r="H64" s="1644" t="s">
        <v>4748</v>
      </c>
      <c r="I64" s="3" t="str">
        <f>OBRA!R403</f>
        <v>SAN JUAN COSALÁ</v>
      </c>
      <c r="J64" s="3" t="s">
        <v>2720</v>
      </c>
      <c r="K64" s="3" t="s">
        <v>4796</v>
      </c>
      <c r="L64" s="3" t="s">
        <v>4770</v>
      </c>
      <c r="M64" s="1648">
        <f>OBRA!AT403+OBRA!AU403</f>
        <v>104942</v>
      </c>
      <c r="N64" s="243">
        <f>'ADMININSTRACIÓN DIR - OBRA'!AF405</f>
        <v>119</v>
      </c>
      <c r="O64" s="243" t="str">
        <f>'ADMININSTRACIÓN DIR - OBRA'!AG405</f>
        <v>ML</v>
      </c>
      <c r="P64" s="2" t="s">
        <v>4984</v>
      </c>
      <c r="Q64" s="2"/>
    </row>
    <row r="65" spans="1:17" ht="45">
      <c r="A65" s="1"/>
      <c r="B65" s="1646"/>
      <c r="C65" s="1" t="str">
        <f>OBRA!CE404</f>
        <v>2018-2021</v>
      </c>
      <c r="D65" s="1">
        <f>OBRA!K404</f>
        <v>2019</v>
      </c>
      <c r="E65" s="1644" t="str">
        <f>OBRA!P404</f>
        <v>ADJUDICACIÓN DIRECTA</v>
      </c>
      <c r="F65" s="1305" t="str">
        <f>OBRA!O404</f>
        <v>GMJ 021 C-OP/2019</v>
      </c>
      <c r="G65" s="3" t="str">
        <f>OBRA!Q404</f>
        <v>"CONSTRUCCIÓN DE LÍNEA DE DRENAJE SANITARIO EN CALLE PRIVADA GUADALUPE VICTORIA DELELGACIÓN DE SAN JUAN COSALA MUNICIPIO DE JOCOTEPEC, JALISCO".</v>
      </c>
      <c r="H65" s="1644" t="s">
        <v>4750</v>
      </c>
      <c r="I65" s="3" t="str">
        <f>OBRA!R404</f>
        <v>SAN JUAN COSALÁ</v>
      </c>
      <c r="J65" s="3" t="s">
        <v>2720</v>
      </c>
      <c r="K65" s="3" t="s">
        <v>4796</v>
      </c>
      <c r="L65" s="3" t="s">
        <v>4770</v>
      </c>
      <c r="M65" s="1648">
        <f>OBRA!AT404+OBRA!AU404</f>
        <v>132810.69</v>
      </c>
      <c r="N65" s="243">
        <f>'ADMININSTRACIÓN DIR - OBRA'!AF406</f>
        <v>105</v>
      </c>
      <c r="O65" s="243" t="str">
        <f>'ADMININSTRACIÓN DIR - OBRA'!AG406</f>
        <v>ML</v>
      </c>
      <c r="P65" s="2" t="s">
        <v>4985</v>
      </c>
      <c r="Q65" s="2"/>
    </row>
    <row r="66" spans="1:17" ht="45" hidden="1">
      <c r="A66" s="1"/>
      <c r="B66" s="1"/>
      <c r="C66" s="1" t="str">
        <f>OBRA!CE405</f>
        <v>2018-2021</v>
      </c>
      <c r="D66" s="1">
        <f>OBRA!K405</f>
        <v>2019</v>
      </c>
      <c r="E66" s="1644" t="str">
        <f>OBRA!P405</f>
        <v>CANCELADA</v>
      </c>
      <c r="F66" s="1644"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48">
        <f>OBRA!AT405+OBRA!AU405</f>
        <v>0</v>
      </c>
      <c r="N66" s="1">
        <f>'ADMININSTRACIÓN DIR - OBRA'!AF407</f>
        <v>1</v>
      </c>
      <c r="O66" s="1" t="str">
        <f>'ADMININSTRACIÓN DIR - OBRA'!AG407</f>
        <v>LOTE</v>
      </c>
      <c r="P66" s="1"/>
      <c r="Q66" s="1"/>
    </row>
    <row r="67" spans="1:17" ht="45">
      <c r="A67" s="1"/>
      <c r="B67" s="1646"/>
      <c r="C67" s="1" t="str">
        <f>OBRA!CE406</f>
        <v>2018-2021</v>
      </c>
      <c r="D67" s="1">
        <f>OBRA!K406</f>
        <v>2019</v>
      </c>
      <c r="E67" s="1644" t="str">
        <f>OBRA!P406</f>
        <v>ADJUDICACIÓN DIRECTA</v>
      </c>
      <c r="F67" s="1305" t="str">
        <f>OBRA!O406</f>
        <v>GMJ 023 C-OP/2019</v>
      </c>
      <c r="G67" s="3" t="str">
        <f>OBRA!Q406</f>
        <v>“CONSTRUCCIÓN DE ÁREA DE CORRALES MÓDULO 1 PRIMERA ETAPA EN EL RASTRO MUNICIPAL”, EN LA CABECERA MUNICIPAL, DE JOCOTEPEC, JALISCO.</v>
      </c>
      <c r="H67" s="1644" t="s">
        <v>4760</v>
      </c>
      <c r="I67" s="3" t="str">
        <f>OBRA!R406</f>
        <v>CABECERA MUNICIPAL</v>
      </c>
      <c r="J67" s="3" t="s">
        <v>3146</v>
      </c>
      <c r="K67" s="3" t="s">
        <v>4779</v>
      </c>
      <c r="L67" s="3" t="s">
        <v>4780</v>
      </c>
      <c r="M67" s="1648">
        <f>OBRA!AT406+OBRA!AU406</f>
        <v>1393904.46</v>
      </c>
      <c r="N67" s="243">
        <f>'ADMININSTRACIÓN DIR - OBRA'!AF408</f>
        <v>731.62</v>
      </c>
      <c r="O67" s="243" t="str">
        <f>'ADMININSTRACIÓN DIR - OBRA'!AG408</f>
        <v>M2</v>
      </c>
      <c r="P67" s="2" t="s">
        <v>67</v>
      </c>
      <c r="Q67" s="2"/>
    </row>
    <row r="68" spans="1:17" ht="45">
      <c r="A68" s="1"/>
      <c r="B68" s="1646"/>
      <c r="C68" s="1" t="str">
        <f>OBRA!CE407</f>
        <v>2018-2021</v>
      </c>
      <c r="D68" s="1">
        <f>OBRA!K407</f>
        <v>2019</v>
      </c>
      <c r="E68" s="1644" t="str">
        <f>OBRA!P407</f>
        <v>ADJUDICACIÓN DIRECTA</v>
      </c>
      <c r="F68" s="1305" t="str">
        <f>OBRA!O407</f>
        <v>GMJ 024 C-OP/2019</v>
      </c>
      <c r="G68" s="3" t="str">
        <f>OBRA!Q407</f>
        <v>“REHABILITACIÓN DE ÁREA DE MATANZA EN ESTRUCTURA Y TECHUMBRE PRIMERA ETAPA EN EL RASTRO MUNICIPAL”, EN LA CABECERA MUNICIPAL, DE JOCOTEPEC, JALISCO.</v>
      </c>
      <c r="H68" s="1644" t="s">
        <v>4760</v>
      </c>
      <c r="I68" s="3" t="str">
        <f>OBRA!R407</f>
        <v>CABECERA MUNICIPAL</v>
      </c>
      <c r="J68" s="3" t="s">
        <v>3146</v>
      </c>
      <c r="K68" s="3" t="s">
        <v>4779</v>
      </c>
      <c r="L68" s="3" t="s">
        <v>4780</v>
      </c>
      <c r="M68" s="1648">
        <f>OBRA!AT407+OBRA!AU407</f>
        <v>1414229.1</v>
      </c>
      <c r="N68" s="243">
        <f>'ADMININSTRACIÓN DIR - OBRA'!AF409</f>
        <v>276.38</v>
      </c>
      <c r="O68" s="243" t="str">
        <f>'ADMININSTRACIÓN DIR - OBRA'!AG409</f>
        <v>M2</v>
      </c>
      <c r="P68" s="2" t="s">
        <v>67</v>
      </c>
      <c r="Q68" s="2"/>
    </row>
    <row r="69" spans="1:17" ht="45">
      <c r="A69" s="1"/>
      <c r="B69" s="1646"/>
      <c r="C69" s="1" t="str">
        <f>OBRA!CE408</f>
        <v>2018-2021</v>
      </c>
      <c r="D69" s="1">
        <f>OBRA!K408</f>
        <v>2019</v>
      </c>
      <c r="E69" s="1644" t="str">
        <f>OBRA!P408</f>
        <v>ADJUDICACIÓN DIRECTA</v>
      </c>
      <c r="F69" s="1305" t="str">
        <f>OBRA!O408</f>
        <v>GMJ 025 C-OP/2019</v>
      </c>
      <c r="G69" s="3" t="str">
        <f>OBRA!Q408</f>
        <v>"REHABILITACIÓN DE RED DE DRENAJE SANITARIO EN CALLE OTOÑO ENTRE CALLE NIÑOS HEROES Y ZARAGOZA" EN LA CABECERA MUNICIPAL DE JOCOTEPEC, JALISCO</v>
      </c>
      <c r="H69" s="1644" t="s">
        <v>4750</v>
      </c>
      <c r="I69" s="3" t="str">
        <f>OBRA!R408</f>
        <v>CABECERA MUNICIPAL</v>
      </c>
      <c r="J69" s="3" t="s">
        <v>2650</v>
      </c>
      <c r="K69" s="3" t="s">
        <v>4830</v>
      </c>
      <c r="L69" s="3" t="s">
        <v>2538</v>
      </c>
      <c r="M69" s="1648">
        <f>OBRA!AT408+OBRA!AU408</f>
        <v>185500.38</v>
      </c>
      <c r="N69" s="243">
        <f>'ADMININSTRACIÓN DIR - OBRA'!AF410</f>
        <v>131</v>
      </c>
      <c r="O69" s="243" t="str">
        <f>'ADMININSTRACIÓN DIR - OBRA'!AG410</f>
        <v>ML</v>
      </c>
      <c r="P69" s="2" t="s">
        <v>4985</v>
      </c>
      <c r="Q69" s="2"/>
    </row>
    <row r="70" spans="1:17" ht="45">
      <c r="A70" s="1"/>
      <c r="B70" s="1646"/>
      <c r="C70" s="1" t="str">
        <f>OBRA!CE409</f>
        <v>2018-2021</v>
      </c>
      <c r="D70" s="1">
        <f>OBRA!K409</f>
        <v>2019</v>
      </c>
      <c r="E70" s="1644" t="str">
        <f>OBRA!P409</f>
        <v>ADJUDICACIÓN DIRECTA</v>
      </c>
      <c r="F70" s="1305" t="str">
        <f>OBRA!O409</f>
        <v>GMJ 026 C-OP/2019</v>
      </c>
      <c r="G70" s="3" t="str">
        <f>OBRA!Q409</f>
        <v>"REHABILITACIÓN DE RED DE AGUA POTABLE EN CALLE OTOÑO ENTRE CALLE NIÑOS HEROES Y ZARAGOZA" EN LA CABECERA MUNICIPAL DE JOCOTEPEC, JALISCO</v>
      </c>
      <c r="H70" s="1644" t="s">
        <v>4748</v>
      </c>
      <c r="I70" s="3" t="str">
        <f>OBRA!R409</f>
        <v>CABECERA MUNICIPAL</v>
      </c>
      <c r="J70" s="3" t="s">
        <v>2650</v>
      </c>
      <c r="K70" s="3" t="s">
        <v>4830</v>
      </c>
      <c r="L70" s="3" t="s">
        <v>2538</v>
      </c>
      <c r="M70" s="1648">
        <f>OBRA!AT409+OBRA!AU409</f>
        <v>140274.29</v>
      </c>
      <c r="N70" s="243">
        <f>'ADMININSTRACIÓN DIR - OBRA'!AF411</f>
        <v>121.65</v>
      </c>
      <c r="O70" s="243" t="str">
        <f>'ADMININSTRACIÓN DIR - OBRA'!AG411</f>
        <v>ML</v>
      </c>
      <c r="P70" s="2" t="s">
        <v>4984</v>
      </c>
      <c r="Q70" s="2"/>
    </row>
    <row r="71" spans="1:17" ht="60" customHeight="1">
      <c r="A71" s="1"/>
      <c r="B71" s="1646"/>
      <c r="C71" s="1" t="str">
        <f>OBRA!CE410</f>
        <v>2018-2021</v>
      </c>
      <c r="D71" s="1">
        <f>OBRA!K410</f>
        <v>2019</v>
      </c>
      <c r="E71" s="1644"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44" t="s">
        <v>4755</v>
      </c>
      <c r="I71" s="3" t="str">
        <f>OBRA!R410</f>
        <v>CABECERA MUNICIPAL</v>
      </c>
      <c r="J71" s="3" t="s">
        <v>2650</v>
      </c>
      <c r="K71" s="3" t="s">
        <v>4830</v>
      </c>
      <c r="L71" s="3" t="s">
        <v>2538</v>
      </c>
      <c r="M71" s="1648">
        <f>OBRA!AT410+OBRA!AU410</f>
        <v>826172.24</v>
      </c>
      <c r="N71" s="243">
        <f>'ADMININSTRACIÓN DIR - OBRA'!AF412</f>
        <v>1301.04</v>
      </c>
      <c r="O71" s="243" t="str">
        <f>'ADMININSTRACIÓN DIR - OBRA'!AG412</f>
        <v>M2</v>
      </c>
      <c r="P71" s="2"/>
      <c r="Q71" s="2"/>
    </row>
    <row r="72" spans="1:17" ht="64.5" customHeight="1">
      <c r="A72" s="1"/>
      <c r="B72" s="1646"/>
      <c r="C72" s="1" t="str">
        <f>OBRA!CE411</f>
        <v>2018-2021</v>
      </c>
      <c r="D72" s="1">
        <f>OBRA!K411</f>
        <v>2019</v>
      </c>
      <c r="E72" s="1644"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44" t="s">
        <v>4750</v>
      </c>
      <c r="I72" s="3" t="str">
        <f>OBRA!R411</f>
        <v>CABECERA MUNICIPAL</v>
      </c>
      <c r="J72" s="3" t="s">
        <v>2700</v>
      </c>
      <c r="K72" s="3" t="s">
        <v>3423</v>
      </c>
      <c r="L72" s="3" t="s">
        <v>2690</v>
      </c>
      <c r="M72" s="1648">
        <f>OBRA!AT411+OBRA!AU411</f>
        <v>295953.42</v>
      </c>
      <c r="N72" s="243">
        <f>'ADMININSTRACIÓN DIR - OBRA'!AF413</f>
        <v>156</v>
      </c>
      <c r="O72" s="243" t="str">
        <f>'ADMININSTRACIÓN DIR - OBRA'!AG413</f>
        <v>ML</v>
      </c>
      <c r="P72" s="2" t="s">
        <v>4985</v>
      </c>
      <c r="Q72" s="2"/>
    </row>
    <row r="73" spans="1:17" ht="63" customHeight="1">
      <c r="A73" s="1"/>
      <c r="B73" s="1646"/>
      <c r="C73" s="1" t="str">
        <f>OBRA!CE412</f>
        <v>2018-2021</v>
      </c>
      <c r="D73" s="1">
        <f>OBRA!K412</f>
        <v>2019</v>
      </c>
      <c r="E73" s="1644"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44" t="s">
        <v>4748</v>
      </c>
      <c r="I73" s="3" t="str">
        <f>OBRA!R412</f>
        <v>CABECERA MUNICIPAL</v>
      </c>
      <c r="J73" s="3" t="s">
        <v>2700</v>
      </c>
      <c r="K73" s="3" t="s">
        <v>3423</v>
      </c>
      <c r="L73" s="3" t="s">
        <v>2690</v>
      </c>
      <c r="M73" s="1648">
        <f>OBRA!AT412+OBRA!AU412</f>
        <v>104872.2</v>
      </c>
      <c r="N73" s="243">
        <f>'ADMININSTRACIÓN DIR - OBRA'!AF414</f>
        <v>156</v>
      </c>
      <c r="O73" s="243" t="str">
        <f>'ADMININSTRACIÓN DIR - OBRA'!AG414</f>
        <v>ML</v>
      </c>
      <c r="P73" s="2"/>
      <c r="Q73" s="2"/>
    </row>
    <row r="74" spans="1:17" ht="60">
      <c r="A74" s="1"/>
      <c r="B74" s="1646"/>
      <c r="C74" s="1" t="str">
        <f>OBRA!CE413</f>
        <v>2018-2021</v>
      </c>
      <c r="D74" s="1">
        <f>OBRA!K413</f>
        <v>2019</v>
      </c>
      <c r="E74" s="1644"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44" t="s">
        <v>4755</v>
      </c>
      <c r="I74" s="3" t="str">
        <f>OBRA!R413</f>
        <v>CABECERA MUNICIPAL</v>
      </c>
      <c r="J74" s="3" t="s">
        <v>2700</v>
      </c>
      <c r="K74" s="3" t="s">
        <v>3423</v>
      </c>
      <c r="L74" s="3" t="s">
        <v>2690</v>
      </c>
      <c r="M74" s="1648">
        <f>OBRA!AT413+OBRA!AU413</f>
        <v>745742.71</v>
      </c>
      <c r="N74" s="243">
        <f>'ADMININSTRACIÓN DIR - OBRA'!AF415</f>
        <v>984</v>
      </c>
      <c r="O74" s="243" t="str">
        <f>'ADMININSTRACIÓN DIR - OBRA'!AG415</f>
        <v>M2</v>
      </c>
      <c r="P74" s="2" t="s">
        <v>67</v>
      </c>
      <c r="Q74" s="2"/>
    </row>
    <row r="75" spans="1:17" ht="60.75" customHeight="1">
      <c r="A75" s="1"/>
      <c r="B75" s="1646"/>
      <c r="C75" s="1" t="str">
        <f>OBRA!CE414</f>
        <v>2018-2021</v>
      </c>
      <c r="D75" s="1">
        <f>OBRA!K414</f>
        <v>2019</v>
      </c>
      <c r="E75" s="1644" t="str">
        <f>OBRA!P414</f>
        <v>ADJUDICACIÓN DIRECTA</v>
      </c>
      <c r="F75" s="1305" t="str">
        <f>OBRA!O414</f>
        <v>GMJ 031 C-OP/2019</v>
      </c>
      <c r="G75" s="3" t="str">
        <f>OBRA!Q414</f>
        <v>"CONSTRUCCIÓN DE BANQUETAS EN CALLE MORELOS DELEGACIÓN DE CHANTEPEC MUNICIPIO DE JOCOTEPEC, JALISCO".</v>
      </c>
      <c r="H75" s="1644" t="s">
        <v>4751</v>
      </c>
      <c r="I75" s="3" t="str">
        <f>OBRA!R414</f>
        <v>CHANTEPEC</v>
      </c>
      <c r="J75" s="3" t="s">
        <v>2491</v>
      </c>
      <c r="K75" s="674" t="s">
        <v>67</v>
      </c>
      <c r="L75" s="674" t="s">
        <v>67</v>
      </c>
      <c r="M75" s="1648">
        <f>OBRA!AT414+OBRA!AU414</f>
        <v>317393.01</v>
      </c>
      <c r="N75" s="243">
        <f>'ADMININSTRACIÓN DIR - OBRA'!AF416</f>
        <v>71.27</v>
      </c>
      <c r="O75" s="243" t="str">
        <f>'ADMININSTRACIÓN DIR - OBRA'!AG416</f>
        <v>M2</v>
      </c>
      <c r="P75" s="1305" t="s">
        <v>4979</v>
      </c>
      <c r="Q75" s="2"/>
    </row>
    <row r="76" spans="1:17" ht="22.5" hidden="1">
      <c r="A76" s="1"/>
      <c r="B76" s="1"/>
      <c r="C76" s="1" t="str">
        <f>OBRA!CE415</f>
        <v>2018-2021</v>
      </c>
      <c r="D76" s="1">
        <f>OBRA!K415</f>
        <v>2019</v>
      </c>
      <c r="E76" s="1644" t="str">
        <f>OBRA!P415</f>
        <v>CANCELADA</v>
      </c>
      <c r="F76" s="1644" t="str">
        <f>OBRA!O415</f>
        <v>GMJ 032 C-OP/2019</v>
      </c>
      <c r="G76" s="3">
        <f>OBRA!Q415</f>
        <v>0</v>
      </c>
      <c r="H76" s="1"/>
      <c r="I76" s="3">
        <f>OBRA!R415</f>
        <v>0</v>
      </c>
      <c r="J76" s="3"/>
      <c r="K76" s="3"/>
      <c r="L76" s="3"/>
      <c r="M76" s="1648">
        <f>OBRA!AT415+OBRA!AU415</f>
        <v>0</v>
      </c>
      <c r="N76" s="1">
        <f>'ADMININSTRACIÓN DIR - OBRA'!AF417</f>
        <v>1</v>
      </c>
      <c r="O76" s="1">
        <f>'ADMININSTRACIÓN DIR - OBRA'!AG417</f>
        <v>0</v>
      </c>
      <c r="P76" s="1"/>
      <c r="Q76" s="1"/>
    </row>
    <row r="77" spans="1:17" ht="22.5" hidden="1">
      <c r="A77" s="1"/>
      <c r="B77" s="1"/>
      <c r="C77" s="1" t="str">
        <f>OBRA!CE416</f>
        <v>2018-2021</v>
      </c>
      <c r="D77" s="1">
        <f>OBRA!K416</f>
        <v>2019</v>
      </c>
      <c r="E77" s="1644" t="str">
        <f>OBRA!P416</f>
        <v>CANCELADA</v>
      </c>
      <c r="F77" s="1644" t="str">
        <f>OBRA!O416</f>
        <v>GMJ 033 C-OP/2019</v>
      </c>
      <c r="G77" s="3">
        <f>OBRA!Q416</f>
        <v>0</v>
      </c>
      <c r="H77" s="1"/>
      <c r="I77" s="3">
        <f>OBRA!R416</f>
        <v>0</v>
      </c>
      <c r="J77" s="3"/>
      <c r="K77" s="3"/>
      <c r="L77" s="3"/>
      <c r="M77" s="1648">
        <f>OBRA!AT416+OBRA!AU416</f>
        <v>0</v>
      </c>
      <c r="N77" s="1">
        <f>'ADMININSTRACIÓN DIR - OBRA'!AF418</f>
        <v>1</v>
      </c>
      <c r="O77" s="1">
        <f>'ADMININSTRACIÓN DIR - OBRA'!AG418</f>
        <v>0</v>
      </c>
      <c r="P77" s="1"/>
      <c r="Q77" s="1"/>
    </row>
    <row r="78" spans="1:17" ht="63.75" customHeight="1">
      <c r="A78" s="1"/>
      <c r="B78" s="1646"/>
      <c r="C78" s="1" t="str">
        <f>OBRA!CE417</f>
        <v>2018-2021</v>
      </c>
      <c r="D78" s="1">
        <f>OBRA!K417</f>
        <v>2019</v>
      </c>
      <c r="E78" s="1644"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44" t="s">
        <v>4750</v>
      </c>
      <c r="I78" s="3" t="str">
        <f>OBRA!R417</f>
        <v>SAN JUAN COSALÁ</v>
      </c>
      <c r="J78" s="3" t="s">
        <v>2717</v>
      </c>
      <c r="K78" s="3" t="s">
        <v>2538</v>
      </c>
      <c r="L78" s="3" t="s">
        <v>4770</v>
      </c>
      <c r="M78" s="1648">
        <f>OBRA!AT417+OBRA!AU417</f>
        <v>82700.08</v>
      </c>
      <c r="N78" s="243">
        <f>'ADMININSTRACIÓN DIR - OBRA'!AF419</f>
        <v>55</v>
      </c>
      <c r="O78" s="243" t="str">
        <f>'ADMININSTRACIÓN DIR - OBRA'!AG419</f>
        <v>ML</v>
      </c>
      <c r="P78" s="2" t="s">
        <v>4987</v>
      </c>
      <c r="Q78" s="2"/>
    </row>
    <row r="79" spans="1:17" ht="45">
      <c r="A79" s="1"/>
      <c r="B79" s="1646"/>
      <c r="C79" s="1" t="str">
        <f>OBRA!CE418</f>
        <v>2018-2021</v>
      </c>
      <c r="D79" s="1">
        <f>OBRA!K418</f>
        <v>2019</v>
      </c>
      <c r="E79" s="1644" t="str">
        <f>OBRA!P418</f>
        <v>ADJUDICACIÓN DIRECTA</v>
      </c>
      <c r="F79" s="1305" t="str">
        <f>OBRA!O418</f>
        <v>GMJ 035 C-OP/2019</v>
      </c>
      <c r="G79" s="3" t="str">
        <f>OBRA!Q418</f>
        <v>"REHABILITACIÓN DE LÍNEA DE DRENAJE EN CALLE VERANO ENTRE CALLES NIÑOS HÉROES Y LÓPEZ RAYÓN CABECERA MUNICIPAL DE JOCOTEPEC, JALISCO".</v>
      </c>
      <c r="H79" s="1644" t="s">
        <v>4750</v>
      </c>
      <c r="I79" s="3" t="str">
        <f>OBRA!R418</f>
        <v>CABECERA MUNICIPAL</v>
      </c>
      <c r="J79" s="3" t="s">
        <v>2545</v>
      </c>
      <c r="K79" s="3" t="s">
        <v>4830</v>
      </c>
      <c r="L79" s="3" t="s">
        <v>4690</v>
      </c>
      <c r="M79" s="1648">
        <f>OBRA!AT418+OBRA!AU418</f>
        <v>117816.14</v>
      </c>
      <c r="N79" s="243">
        <f>'ADMININSTRACIÓN DIR - OBRA'!AF420</f>
        <v>42</v>
      </c>
      <c r="O79" s="243" t="str">
        <f>'ADMININSTRACIÓN DIR - OBRA'!AG420</f>
        <v>ML</v>
      </c>
      <c r="P79" s="2" t="s">
        <v>4985</v>
      </c>
      <c r="Q79" s="2"/>
    </row>
    <row r="80" spans="1:17" ht="68.25" customHeight="1">
      <c r="A80" s="1"/>
      <c r="B80" s="1646"/>
      <c r="C80" s="1" t="str">
        <f>OBRA!CE419</f>
        <v>2018-2021</v>
      </c>
      <c r="D80" s="1">
        <f>OBRA!K419</f>
        <v>2019</v>
      </c>
      <c r="E80" s="1644" t="str">
        <f>OBRA!P419</f>
        <v>ADJUDICACIÓN DIRECTA</v>
      </c>
      <c r="F80" s="1305" t="str">
        <f>OBRA!O419</f>
        <v>GMJ 036 C-OP/2019</v>
      </c>
      <c r="G80" s="3" t="str">
        <f>OBRA!Q419</f>
        <v>"CONSTRUCCIÓN DE EMPEDRADO AHOGADO EN CEMENTO EN CALLE VERANO ENTRE NIÑOS HÉROES Y EMPEDRADO EXISTENTE CABECERA MUNICIPAL DE JOCOTEPEC, JALISCO".</v>
      </c>
      <c r="H80" s="1644" t="s">
        <v>4755</v>
      </c>
      <c r="I80" s="3" t="str">
        <f>OBRA!R419</f>
        <v>CABECERA MUNICIPAL</v>
      </c>
      <c r="J80" s="3" t="s">
        <v>2545</v>
      </c>
      <c r="K80" s="3" t="s">
        <v>4830</v>
      </c>
      <c r="L80" s="3" t="s">
        <v>4781</v>
      </c>
      <c r="M80" s="1648">
        <f>OBRA!AT419+OBRA!AU419</f>
        <v>256679.4</v>
      </c>
      <c r="N80" s="243">
        <f>'ADMININSTRACIÓN DIR - OBRA'!AF421</f>
        <v>432</v>
      </c>
      <c r="O80" s="243" t="str">
        <f>'ADMININSTRACIÓN DIR - OBRA'!AG421</f>
        <v>M2</v>
      </c>
      <c r="P80" s="2" t="s">
        <v>67</v>
      </c>
      <c r="Q80" s="2"/>
    </row>
    <row r="81" spans="1:17" ht="22.5" hidden="1">
      <c r="A81" s="1"/>
      <c r="B81" s="1"/>
      <c r="C81" s="1" t="str">
        <f>OBRA!CE420</f>
        <v>2018-2021</v>
      </c>
      <c r="D81" s="1">
        <f>OBRA!K420</f>
        <v>2019</v>
      </c>
      <c r="E81" s="1644" t="str">
        <f>OBRA!P420</f>
        <v>CANCELADA</v>
      </c>
      <c r="F81" s="1644" t="str">
        <f>OBRA!O420</f>
        <v>GMJ 037 C-OP/2019</v>
      </c>
      <c r="G81" s="3">
        <f>OBRA!Q420</f>
        <v>0</v>
      </c>
      <c r="H81" s="1"/>
      <c r="I81" s="3">
        <f>OBRA!R420</f>
        <v>0</v>
      </c>
      <c r="J81" s="3"/>
      <c r="K81" s="3"/>
      <c r="L81" s="3"/>
      <c r="M81" s="1648">
        <f>OBRA!AT420+OBRA!AU420</f>
        <v>0</v>
      </c>
      <c r="N81" s="1">
        <f>'ADMININSTRACIÓN DIR - OBRA'!AF422</f>
        <v>0</v>
      </c>
      <c r="O81" s="1">
        <f>'ADMININSTRACIÓN DIR - OBRA'!AG422</f>
        <v>0</v>
      </c>
      <c r="P81" s="1"/>
      <c r="Q81" s="1"/>
    </row>
    <row r="82" spans="1:17" ht="53.25" customHeight="1">
      <c r="A82" s="1"/>
      <c r="B82" s="1646"/>
      <c r="C82" s="1" t="str">
        <f>OBRA!CE421</f>
        <v>2018-2021</v>
      </c>
      <c r="D82" s="1">
        <f>OBRA!K421</f>
        <v>2019</v>
      </c>
      <c r="E82" s="1644" t="str">
        <f>OBRA!P421</f>
        <v>ADJUDICACIÓN DIRECTA</v>
      </c>
      <c r="F82" s="1305" t="str">
        <f>OBRA!O421</f>
        <v>GMJ 038 C-OP/2019</v>
      </c>
      <c r="G82" s="3" t="str">
        <f>OBRA!Q421</f>
        <v>"CONSTRUCCIÓN DE PUERTO INOCUO DE DESEMBARQUE (P.I.D.) EN LA AGENCIA DE NEXTIPAC MUNICIPIO DE JOCOTEPEC, JALISCO.</v>
      </c>
      <c r="H82" s="1644" t="s">
        <v>2209</v>
      </c>
      <c r="I82" s="3" t="str">
        <f>OBRA!R421</f>
        <v>NEXTIPAC</v>
      </c>
      <c r="J82" s="674" t="s">
        <v>67</v>
      </c>
      <c r="K82" s="674" t="s">
        <v>67</v>
      </c>
      <c r="L82" s="674" t="s">
        <v>67</v>
      </c>
      <c r="M82" s="1648">
        <f>OBRA!AT421+OBRA!AU421</f>
        <v>875309.47</v>
      </c>
      <c r="N82" s="243">
        <f>'ADMININSTRACIÓN DIR - OBRA'!AF423</f>
        <v>95.9</v>
      </c>
      <c r="O82" s="243" t="str">
        <f>'ADMININSTRACIÓN DIR - OBRA'!AG423</f>
        <v>M2</v>
      </c>
      <c r="P82" s="2" t="s">
        <v>67</v>
      </c>
      <c r="Q82" s="2"/>
    </row>
    <row r="83" spans="1:17" ht="30" hidden="1">
      <c r="A83" s="1"/>
      <c r="B83" s="1"/>
      <c r="C83" s="1" t="str">
        <f>OBRA!CE422</f>
        <v>2018-2021</v>
      </c>
      <c r="D83" s="1">
        <f>OBRA!K422</f>
        <v>2020</v>
      </c>
      <c r="E83" s="1644" t="str">
        <f>OBRA!P422</f>
        <v>CONVENIO</v>
      </c>
      <c r="F83" s="1644" t="str">
        <f>OBRA!O422</f>
        <v>CEAJ-PERF-002/2020</v>
      </c>
      <c r="G83" s="3" t="str">
        <f>OBRA!Q422</f>
        <v>CONVENIO PARA LA PERFORACIÓN DE UN POZO PROFUNDO PARA AGUA POTABLE</v>
      </c>
      <c r="H83" s="1"/>
      <c r="I83" s="3" t="str">
        <f>OBRA!R422</f>
        <v>MUNICIPIO</v>
      </c>
      <c r="J83" s="3"/>
      <c r="K83" s="3"/>
      <c r="L83" s="3"/>
      <c r="M83" s="1648">
        <f>OBRA!AT422+OBRA!AU422</f>
        <v>0</v>
      </c>
      <c r="N83" s="1">
        <f>'ADMININSTRACIÓN DIR - OBRA'!AF424</f>
        <v>1</v>
      </c>
      <c r="O83" s="1" t="str">
        <f>'ADMININSTRACIÓN DIR - OBRA'!AG424</f>
        <v>POZO</v>
      </c>
      <c r="P83" s="1"/>
      <c r="Q83" s="1"/>
    </row>
    <row r="84" spans="1:17" ht="30" hidden="1">
      <c r="A84" s="1"/>
      <c r="B84" s="1"/>
      <c r="C84" s="1" t="str">
        <f>OBRA!CE423</f>
        <v>2018-2021</v>
      </c>
      <c r="D84" s="1">
        <f>OBRA!K423</f>
        <v>2020</v>
      </c>
      <c r="E84" s="1644" t="str">
        <f>OBRA!P423</f>
        <v>CONVENIO</v>
      </c>
      <c r="F84" s="1644" t="str">
        <f>OBRA!O423</f>
        <v>CULTURA 2020</v>
      </c>
      <c r="G84" s="3" t="str">
        <f>OBRA!Q423</f>
        <v>REMOZAMIENTO Y MEJORAMIENTO  DE IMAGEN URBANA DEL TEMPLO DEL SEÑOR DEL MONTE</v>
      </c>
      <c r="H84" s="1"/>
      <c r="I84" s="3" t="str">
        <f>OBRA!R423</f>
        <v>CABECERA MUNICIPAL</v>
      </c>
      <c r="J84" s="3"/>
      <c r="K84" s="3"/>
      <c r="L84" s="3"/>
      <c r="M84" s="1648">
        <f>OBRA!AT423+OBRA!AU423</f>
        <v>0</v>
      </c>
      <c r="N84" s="1">
        <f>'ADMININSTRACIÓN DIR - OBRA'!AF425</f>
        <v>2</v>
      </c>
      <c r="O84" s="1" t="str">
        <f>'ADMININSTRACIÓN DIR - OBRA'!AG425</f>
        <v>OBRAS</v>
      </c>
      <c r="P84" s="1"/>
      <c r="Q84" s="1"/>
    </row>
    <row r="85" spans="1:17" ht="60" hidden="1">
      <c r="A85" s="1"/>
      <c r="B85" s="1"/>
      <c r="C85" s="1" t="str">
        <f>OBRA!CE424</f>
        <v>2018-2021</v>
      </c>
      <c r="D85" s="1">
        <f>OBRA!K424</f>
        <v>2020</v>
      </c>
      <c r="E85" s="1644" t="str">
        <f>OBRA!P424</f>
        <v>CONVENIO</v>
      </c>
      <c r="F85" s="1644"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48">
        <f>OBRA!AT424+OBRA!AU424</f>
        <v>0</v>
      </c>
      <c r="N85" s="1">
        <f>'ADMININSTRACIÓN DIR - OBRA'!AF426</f>
        <v>0</v>
      </c>
      <c r="O85" s="1">
        <f>'ADMININSTRACIÓN DIR - OBRA'!AG426</f>
        <v>0</v>
      </c>
      <c r="P85" s="1"/>
      <c r="Q85" s="1"/>
    </row>
    <row r="86" spans="1:17" ht="30" hidden="1">
      <c r="A86" s="1"/>
      <c r="B86" s="1"/>
      <c r="C86" s="1" t="str">
        <f>OBRA!CE425</f>
        <v>2018-2021</v>
      </c>
      <c r="D86" s="1">
        <f>OBRA!K425</f>
        <v>2020</v>
      </c>
      <c r="E86" s="1644" t="str">
        <f>OBRA!P425</f>
        <v>CONVENIO</v>
      </c>
      <c r="F86" s="1644" t="str">
        <f>OBRA!O425</f>
        <v>RASTRO DIGNO 2020</v>
      </c>
      <c r="G86" s="3" t="str">
        <f>OBRA!Q425</f>
        <v>PROGRAMA PARA MEJORAMIENTO DE RASTROS "RASTRO DIGNO", EJERCICIO 2020</v>
      </c>
      <c r="H86" s="1"/>
      <c r="I86" s="3" t="str">
        <f>OBRA!R425</f>
        <v>CABECERA MUNICIPAL</v>
      </c>
      <c r="J86" s="3"/>
      <c r="K86" s="3"/>
      <c r="L86" s="3"/>
      <c r="M86" s="1648">
        <f>OBRA!AT425+OBRA!AU425</f>
        <v>0</v>
      </c>
      <c r="N86" s="1">
        <f>'ADMININSTRACIÓN DIR - OBRA'!AF427</f>
        <v>2</v>
      </c>
      <c r="O86" s="1" t="str">
        <f>'ADMININSTRACIÓN DIR - OBRA'!AG427</f>
        <v>OBRAS</v>
      </c>
      <c r="P86" s="1"/>
      <c r="Q86" s="1"/>
    </row>
    <row r="87" spans="1:17" ht="30" hidden="1">
      <c r="A87" s="1"/>
      <c r="B87" s="1"/>
      <c r="C87" s="1" t="str">
        <f>OBRA!CE426</f>
        <v>2018-2021</v>
      </c>
      <c r="D87" s="1">
        <f>OBRA!K426</f>
        <v>2020</v>
      </c>
      <c r="E87" s="1644" t="str">
        <f>OBRA!P426</f>
        <v>CONVENIO</v>
      </c>
      <c r="F87" s="1644" t="str">
        <f>OBRA!O426</f>
        <v>SADER/DGIR/EMP/057/2020</v>
      </c>
      <c r="G87" s="3" t="str">
        <f>OBRA!Q426</f>
        <v xml:space="preserve">PROGRAMA DE EMPEDRADOS PARA LA REACTIVACIÓN ECONÓMICA EN MUNICIPIOS </v>
      </c>
      <c r="H87" s="1"/>
      <c r="I87" s="3" t="str">
        <f>OBRA!R426</f>
        <v>MUNICIPIO</v>
      </c>
      <c r="J87" s="3"/>
      <c r="K87" s="3"/>
      <c r="L87" s="3"/>
      <c r="M87" s="1648">
        <f>OBRA!AT426+OBRA!AU426</f>
        <v>0</v>
      </c>
      <c r="N87" s="1">
        <f>'ADMININSTRACIÓN DIR - OBRA'!AF428</f>
        <v>2</v>
      </c>
      <c r="O87" s="1" t="str">
        <f>'ADMININSTRACIÓN DIR - OBRA'!AG428</f>
        <v>OBRAS</v>
      </c>
      <c r="P87" s="1"/>
      <c r="Q87" s="1"/>
    </row>
    <row r="88" spans="1:17" ht="45">
      <c r="A88" s="1"/>
      <c r="B88" s="1646"/>
      <c r="C88" s="1" t="str">
        <f>OBRA!CE427</f>
        <v>2018-2021</v>
      </c>
      <c r="D88" s="1">
        <f>OBRA!K427</f>
        <v>2020</v>
      </c>
      <c r="E88" s="1644" t="str">
        <f>OBRA!P427</f>
        <v>ADMINISTRACIÓN DIRECTA</v>
      </c>
      <c r="F88" s="1305" t="str">
        <f>OBRA!O427</f>
        <v>DOP/AD/001/2020</v>
      </c>
      <c r="G88" s="3" t="str">
        <f>OBRA!Q427</f>
        <v>"ADQUISICION DE MATERIALES PARA LA LINEA DE ALIMENTACION DEL DEPOSITO NUEVO , EN LA LOCALIDAD DE HUEJOTITAN, MUNICIPIO DE JOCOTEPEC, JALISCO"</v>
      </c>
      <c r="H88" s="1644" t="s">
        <v>4748</v>
      </c>
      <c r="I88" s="3" t="str">
        <f>OBRA!R427</f>
        <v>HUEJOTITÁN</v>
      </c>
      <c r="J88" s="3" t="s">
        <v>4778</v>
      </c>
      <c r="K88" s="3" t="s">
        <v>67</v>
      </c>
      <c r="L88" s="3" t="s">
        <v>67</v>
      </c>
      <c r="M88" s="1648">
        <f>OBRA!AT427+OBRA!AU427</f>
        <v>148382.19</v>
      </c>
      <c r="N88" s="243">
        <f>'ADMININSTRACIÓN DIR - OBRA'!AF429</f>
        <v>2</v>
      </c>
      <c r="O88" s="243" t="str">
        <f>'ADMININSTRACIÓN DIR - OBRA'!AG429</f>
        <v>OBRAS</v>
      </c>
      <c r="P88" s="2" t="s">
        <v>67</v>
      </c>
      <c r="Q88" s="2"/>
    </row>
    <row r="89" spans="1:17" ht="51.75" customHeight="1">
      <c r="A89" s="1"/>
      <c r="B89" s="1646"/>
      <c r="C89" s="1" t="str">
        <f>OBRA!CE428</f>
        <v>2018-2021</v>
      </c>
      <c r="D89" s="1">
        <f>OBRA!K428</f>
        <v>2020</v>
      </c>
      <c r="E89" s="1644" t="str">
        <f>OBRA!P428</f>
        <v>ADMINISTRACIÓN DIRECTA</v>
      </c>
      <c r="F89" s="1305" t="str">
        <f>OBRA!O428</f>
        <v>DOP/AD/002/2020</v>
      </c>
      <c r="G89" s="3" t="str">
        <f>OBRA!Q428</f>
        <v>"REHABILITACIÓN Y MANTENIMIENTO DE "LA CASA DE CULTURA SAN JUAN COSALA, DEL MUNICIPIO DE JOCOTEPEC, JALISCO.</v>
      </c>
      <c r="H89" s="1644" t="s">
        <v>4761</v>
      </c>
      <c r="I89" s="3" t="str">
        <f>OBRA!R428</f>
        <v>SAN JUAN COSALÁ</v>
      </c>
      <c r="J89" s="3" t="s">
        <v>2589</v>
      </c>
      <c r="K89" s="3" t="s">
        <v>4769</v>
      </c>
      <c r="L89" s="3" t="s">
        <v>4782</v>
      </c>
      <c r="M89" s="1679">
        <f>OBRA!S428</f>
        <v>655000</v>
      </c>
      <c r="N89" s="243">
        <f>'ADMININSTRACIÓN DIR - OBRA'!AF430</f>
        <v>152</v>
      </c>
      <c r="O89" s="243" t="str">
        <f>'ADMININSTRACIÓN DIR - OBRA'!AG430</f>
        <v>ML</v>
      </c>
      <c r="P89" s="2" t="s">
        <v>67</v>
      </c>
      <c r="Q89" s="2"/>
    </row>
    <row r="90" spans="1:17" ht="62.25" customHeight="1">
      <c r="A90" s="1"/>
      <c r="B90" s="1646"/>
      <c r="C90" s="1" t="str">
        <f>OBRA!CE429</f>
        <v>2018-2021</v>
      </c>
      <c r="D90" s="1">
        <f>OBRA!K429</f>
        <v>2020</v>
      </c>
      <c r="E90" s="1644" t="str">
        <f>OBRA!P429</f>
        <v>ADMINISTRACIÓN DIRECTA</v>
      </c>
      <c r="F90" s="1305" t="str">
        <f>OBRA!O429</f>
        <v>DOP/AD/003/2020</v>
      </c>
      <c r="G90" s="3" t="str">
        <f>OBRA!Q429</f>
        <v>"MATERIALES E INSUMOS NECESARIOS PARA LA PERFORACIÓN DE POZO PROFUNDO EN LA LOCALIDAD DE LAS TROJES, DEL MUNICIPIO DE JOCOTEPEC, JALISCO.</v>
      </c>
      <c r="H90" s="1644" t="s">
        <v>4748</v>
      </c>
      <c r="I90" s="3" t="str">
        <f>OBRA!R429</f>
        <v>LAS TROJES</v>
      </c>
      <c r="J90" s="674" t="s">
        <v>2531</v>
      </c>
      <c r="K90" s="674" t="s">
        <v>4771</v>
      </c>
      <c r="L90" s="674" t="s">
        <v>2621</v>
      </c>
      <c r="M90" s="1679">
        <f>OBRA!S429</f>
        <v>962427.31</v>
      </c>
      <c r="N90" s="243">
        <f>'ADMININSTRACIÓN DIR - OBRA'!AF431</f>
        <v>343.85</v>
      </c>
      <c r="O90" s="243" t="str">
        <f>'ADMININSTRACIÓN DIR - OBRA'!AG431</f>
        <v>M2</v>
      </c>
      <c r="P90" s="2" t="s">
        <v>67</v>
      </c>
      <c r="Q90" s="2"/>
    </row>
    <row r="91" spans="1:17" ht="60">
      <c r="A91" s="1"/>
      <c r="B91" s="1646"/>
      <c r="C91" s="1" t="str">
        <f>OBRA!CE430</f>
        <v>2018-2021</v>
      </c>
      <c r="D91" s="1">
        <f>OBRA!K430</f>
        <v>2020</v>
      </c>
      <c r="E91" s="1644"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44" t="s">
        <v>4755</v>
      </c>
      <c r="I91" s="3" t="str">
        <f>OBRA!R430</f>
        <v>SAN JUAN COSALÁ</v>
      </c>
      <c r="J91" s="3" t="s">
        <v>2639</v>
      </c>
      <c r="K91" s="3" t="s">
        <v>2531</v>
      </c>
      <c r="L91" s="3" t="s">
        <v>4773</v>
      </c>
      <c r="M91" s="1679">
        <f>OBRA!S430</f>
        <v>192779.35</v>
      </c>
      <c r="N91" s="243">
        <f>'ADMININSTRACIÓN DIR - OBRA'!AF432</f>
        <v>1</v>
      </c>
      <c r="O91" s="243" t="str">
        <f>'ADMININSTRACIÓN DIR - OBRA'!AG432</f>
        <v>POZO</v>
      </c>
      <c r="P91" s="2" t="s">
        <v>4947</v>
      </c>
      <c r="Q91" s="2"/>
    </row>
    <row r="92" spans="1:17" ht="45">
      <c r="A92" s="1"/>
      <c r="B92" s="1646"/>
      <c r="C92" s="1" t="str">
        <f>OBRA!CE431</f>
        <v>2018-2021</v>
      </c>
      <c r="D92" s="1">
        <f>OBRA!K431</f>
        <v>2020</v>
      </c>
      <c r="E92" s="1644" t="str">
        <f>OBRA!P431</f>
        <v>ADMINISTRACIÓN DIRECTA</v>
      </c>
      <c r="F92" s="1305" t="str">
        <f>OBRA!O431</f>
        <v>DOP/AD/005/2020</v>
      </c>
      <c r="G92" s="3" t="str">
        <f>OBRA!Q431</f>
        <v>"ELABORACIÓN DE MURO PERIMETRAL, EN LA CASA DE CULTURA" UBICADA EN LA DELEGACIÓN DE SAN JUAN COSALA, DEL MUNICIPIO DE JOCOTEPEC, JALISCO.</v>
      </c>
      <c r="H92" s="1644" t="s">
        <v>4761</v>
      </c>
      <c r="I92" s="3" t="str">
        <f>OBRA!R431</f>
        <v>SAN JUAN COSALÁ</v>
      </c>
      <c r="J92" s="3" t="s">
        <v>2589</v>
      </c>
      <c r="K92" s="3" t="s">
        <v>4769</v>
      </c>
      <c r="L92" s="3" t="s">
        <v>4782</v>
      </c>
      <c r="M92" s="1679">
        <f>OBRA!S431</f>
        <v>50000</v>
      </c>
      <c r="N92" s="243">
        <f>'ADMININSTRACIÓN DIR - OBRA'!AF433</f>
        <v>57</v>
      </c>
      <c r="O92" s="243" t="str">
        <f>'ADMININSTRACIÓN DIR - OBRA'!AG433</f>
        <v>ML</v>
      </c>
      <c r="P92" s="2" t="s">
        <v>67</v>
      </c>
      <c r="Q92" s="2"/>
    </row>
    <row r="93" spans="1:17" ht="60" customHeight="1">
      <c r="A93" s="1"/>
      <c r="B93" s="1646"/>
      <c r="C93" s="1" t="str">
        <f>OBRA!CE432</f>
        <v>2018-2021</v>
      </c>
      <c r="D93" s="1">
        <f>OBRA!K432</f>
        <v>2020</v>
      </c>
      <c r="E93" s="1644"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44" t="s">
        <v>4755</v>
      </c>
      <c r="I93" s="3" t="str">
        <f>OBRA!R432</f>
        <v>CABECERA MUNICIPAL</v>
      </c>
      <c r="J93" s="3" t="s">
        <v>4829</v>
      </c>
      <c r="K93" s="3" t="s">
        <v>4783</v>
      </c>
      <c r="L93" s="3" t="s">
        <v>4770</v>
      </c>
      <c r="M93" s="1648">
        <f>OBRA!AT432+OBRA!AU432</f>
        <v>38982.61</v>
      </c>
      <c r="N93" s="220">
        <f>'ADMININSTRACIÓN DIR - OBRA'!AF434</f>
        <v>0</v>
      </c>
      <c r="O93" s="220">
        <f>'ADMININSTRACIÓN DIR - OBRA'!AG434</f>
        <v>0</v>
      </c>
      <c r="P93" s="2" t="s">
        <v>67</v>
      </c>
      <c r="Q93" s="2"/>
    </row>
    <row r="94" spans="1:17" ht="65.25" customHeight="1">
      <c r="A94" s="1"/>
      <c r="B94" s="1646"/>
      <c r="C94" s="1" t="str">
        <f>OBRA!CE433</f>
        <v>2018-2021</v>
      </c>
      <c r="D94" s="1">
        <f>OBRA!K433</f>
        <v>2020</v>
      </c>
      <c r="E94" s="1644"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44" t="s">
        <v>4755</v>
      </c>
      <c r="I94" s="3" t="str">
        <f>OBRA!R433</f>
        <v>LAS TROJES</v>
      </c>
      <c r="J94" s="3" t="s">
        <v>4828</v>
      </c>
      <c r="K94" s="3" t="s">
        <v>67</v>
      </c>
      <c r="L94" s="3" t="s">
        <v>67</v>
      </c>
      <c r="M94" s="1679">
        <f>OBRA!S433</f>
        <v>196881.44</v>
      </c>
      <c r="N94" s="243">
        <f>'ADMININSTRACIÓN DIR - OBRA'!AF435</f>
        <v>225</v>
      </c>
      <c r="O94" s="243" t="str">
        <f>'ADMININSTRACIÓN DIR - OBRA'!AG435</f>
        <v>ML</v>
      </c>
      <c r="P94" s="2" t="s">
        <v>4932</v>
      </c>
      <c r="Q94" s="2"/>
    </row>
    <row r="95" spans="1:17" ht="62.25" customHeight="1">
      <c r="A95" s="1"/>
      <c r="B95" s="1646" t="s">
        <v>1176</v>
      </c>
      <c r="C95" s="1" t="str">
        <f>OBRA!CE434</f>
        <v>2018-2021</v>
      </c>
      <c r="D95" s="1">
        <f>OBRA!K434</f>
        <v>2020</v>
      </c>
      <c r="E95" s="1644"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44" t="s">
        <v>4755</v>
      </c>
      <c r="I95" s="3" t="str">
        <f>OBRA!R434</f>
        <v>LAS TROJES</v>
      </c>
      <c r="J95" s="3" t="s">
        <v>4828</v>
      </c>
      <c r="K95" s="3" t="s">
        <v>67</v>
      </c>
      <c r="L95" s="3" t="s">
        <v>67</v>
      </c>
      <c r="M95" s="1679">
        <f>OBRA!S434</f>
        <v>283094.36</v>
      </c>
      <c r="N95" s="243">
        <f>'ADMININSTRACIÓN DIR - OBRA'!AF436</f>
        <v>807.4</v>
      </c>
      <c r="O95" s="243" t="str">
        <f>'ADMININSTRACIÓN DIR - OBRA'!AG436</f>
        <v>M2</v>
      </c>
      <c r="P95" s="2" t="s">
        <v>4932</v>
      </c>
      <c r="Q95" s="2"/>
    </row>
    <row r="96" spans="1:17" ht="30">
      <c r="A96" s="1"/>
      <c r="B96" s="1646"/>
      <c r="C96" s="1" t="str">
        <f>OBRA!CE435</f>
        <v>2018-2021</v>
      </c>
      <c r="D96" s="1">
        <f>OBRA!K435</f>
        <v>2020</v>
      </c>
      <c r="E96" s="1644" t="str">
        <f>OBRA!P435</f>
        <v>ADMINISTRACIÓN DIRECTA</v>
      </c>
      <c r="F96" s="1305" t="str">
        <f>OBRA!O435</f>
        <v>DOP/AD/008/2020</v>
      </c>
      <c r="G96" s="3" t="str">
        <f>OBRA!Q435</f>
        <v>CONSTRUCCIÓN DE EMPEDRADO ZAMPEADO EN CALLES DE LA DELEGACIÓN DE HUEJOTITAN</v>
      </c>
      <c r="H96" s="1644" t="s">
        <v>4755</v>
      </c>
      <c r="I96" s="3" t="str">
        <f>OBRA!R435</f>
        <v>HUEJOTITÁN</v>
      </c>
      <c r="J96" s="3" t="s">
        <v>4784</v>
      </c>
      <c r="K96" s="3" t="s">
        <v>67</v>
      </c>
      <c r="L96" s="3" t="s">
        <v>67</v>
      </c>
      <c r="M96" s="1679">
        <f>OBRA!S435</f>
        <v>1079624.5</v>
      </c>
      <c r="N96" s="243">
        <f>'ADMININSTRACIÓN DIR - OBRA'!AF437</f>
        <v>807.4</v>
      </c>
      <c r="O96" s="243" t="str">
        <f>'ADMININSTRACIÓN DIR - OBRA'!AG437</f>
        <v>M2</v>
      </c>
      <c r="P96" s="2" t="s">
        <v>4932</v>
      </c>
      <c r="Q96" s="2"/>
    </row>
    <row r="97" spans="1:17" ht="45" customHeight="1">
      <c r="A97" s="1"/>
      <c r="B97" s="1646" t="s">
        <v>1176</v>
      </c>
      <c r="C97" s="1" t="str">
        <f>OBRA!CE436</f>
        <v>2018-2021</v>
      </c>
      <c r="D97" s="1">
        <f>OBRA!K436</f>
        <v>2020</v>
      </c>
      <c r="E97" s="1644" t="str">
        <f>OBRA!P436</f>
        <v>ADMINISTRACIÓN DIRECTA</v>
      </c>
      <c r="F97" s="1305" t="str">
        <f>OBRA!O436</f>
        <v>DOP/AD/008-A/2020</v>
      </c>
      <c r="G97" s="3" t="str">
        <f>OBRA!Q436</f>
        <v>CONSTRUCCIÓN DE EMPEDRADO ZAMPEADO, EN LA LOCALIDAD DE HUEJOTITAN DEL MUNICIPIO DE JOCOTEPEC, JALISCO.</v>
      </c>
      <c r="H97" s="1644" t="s">
        <v>4755</v>
      </c>
      <c r="I97" s="3" t="str">
        <f>OBRA!R436</f>
        <v>HUEJOTITÁN</v>
      </c>
      <c r="J97" s="3" t="s">
        <v>4784</v>
      </c>
      <c r="K97" s="3" t="s">
        <v>67</v>
      </c>
      <c r="L97" s="3" t="s">
        <v>67</v>
      </c>
      <c r="M97" s="1679">
        <f>OBRA!S436</f>
        <v>327960.31</v>
      </c>
      <c r="N97" s="243">
        <f>'ADMININSTRACIÓN DIR - OBRA'!AF438</f>
        <v>4550</v>
      </c>
      <c r="O97" s="243" t="str">
        <f>'ADMININSTRACIÓN DIR - OBRA'!AG438</f>
        <v>M2</v>
      </c>
      <c r="P97" s="2" t="s">
        <v>4932</v>
      </c>
      <c r="Q97" s="2"/>
    </row>
    <row r="98" spans="1:17" ht="60">
      <c r="A98" s="1"/>
      <c r="B98" s="1646"/>
      <c r="C98" s="1" t="str">
        <f>OBRA!CE437</f>
        <v>2018-2021</v>
      </c>
      <c r="D98" s="1">
        <f>OBRA!K437</f>
        <v>2020</v>
      </c>
      <c r="E98" s="1644"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44" t="s">
        <v>4755</v>
      </c>
      <c r="I98" s="3" t="str">
        <f>OBRA!R437</f>
        <v>POTRERILLOS</v>
      </c>
      <c r="J98" s="3" t="s">
        <v>4734</v>
      </c>
      <c r="K98" s="3" t="s">
        <v>4785</v>
      </c>
      <c r="L98" s="3" t="s">
        <v>3428</v>
      </c>
      <c r="M98" s="1679">
        <f>OBRA!S437</f>
        <v>193929.96</v>
      </c>
      <c r="N98" s="243">
        <f>'ADMININSTRACIÓN DIR - OBRA'!AF439</f>
        <v>4550</v>
      </c>
      <c r="O98" s="243" t="str">
        <f>'ADMININSTRACIÓN DIR - OBRA'!AG439</f>
        <v>M2</v>
      </c>
      <c r="P98" s="2" t="s">
        <v>4932</v>
      </c>
      <c r="Q98" s="2"/>
    </row>
    <row r="99" spans="1:17" ht="60">
      <c r="A99" s="1"/>
      <c r="B99" s="1646"/>
      <c r="C99" s="1" t="str">
        <f>OBRA!CE438</f>
        <v>2018-2021</v>
      </c>
      <c r="D99" s="1">
        <f>OBRA!K438</f>
        <v>2020</v>
      </c>
      <c r="E99" s="1644"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44" t="s">
        <v>4755</v>
      </c>
      <c r="I99" s="3" t="str">
        <f>OBRA!R438</f>
        <v>POTRERILLOS</v>
      </c>
      <c r="J99" s="3" t="s">
        <v>3428</v>
      </c>
      <c r="K99" s="3" t="s">
        <v>4723</v>
      </c>
      <c r="L99" s="3" t="s">
        <v>4770</v>
      </c>
      <c r="M99" s="1679">
        <f>OBRA!S438</f>
        <v>331496.03999999998</v>
      </c>
      <c r="N99" s="243">
        <f>'ADMININSTRACIÓN DIR - OBRA'!AF440</f>
        <v>812</v>
      </c>
      <c r="O99" s="243" t="str">
        <f>'ADMININSTRACIÓN DIR - OBRA'!AG440</f>
        <v>M2</v>
      </c>
      <c r="P99" s="2" t="s">
        <v>4932</v>
      </c>
      <c r="Q99" s="2"/>
    </row>
    <row r="100" spans="1:17" ht="47.25" customHeight="1">
      <c r="A100" s="1"/>
      <c r="B100" s="1646" t="s">
        <v>1176</v>
      </c>
      <c r="C100" s="1" t="str">
        <f>OBRA!CE439</f>
        <v>2018-2021</v>
      </c>
      <c r="D100" s="1">
        <f>OBRA!K439</f>
        <v>2020</v>
      </c>
      <c r="E100" s="1644" t="str">
        <f>OBRA!P439</f>
        <v>ADMINISTRACIÓN DIRECTA</v>
      </c>
      <c r="F100" s="1305" t="str">
        <f>OBRA!O439</f>
        <v>DOP/AD/009-A/2020</v>
      </c>
      <c r="G100" s="3" t="str">
        <f>OBRA!Q439</f>
        <v>CONSTRUCCIÓN DE EMPEDRADO ZAMPEADO, EN LA LOCALIDAD DE POTRERILLOS DEL MUNICIPIO DE JOCOTEPEC, JALISCO</v>
      </c>
      <c r="H100" s="1644" t="s">
        <v>4755</v>
      </c>
      <c r="I100" s="3" t="str">
        <f>OBRA!R439</f>
        <v>POTRERILLOS</v>
      </c>
      <c r="J100" s="3" t="s">
        <v>4901</v>
      </c>
      <c r="K100" s="3" t="s">
        <v>67</v>
      </c>
      <c r="L100" s="3" t="s">
        <v>67</v>
      </c>
      <c r="M100" s="1679">
        <f>OBRA!S439</f>
        <v>174032.11</v>
      </c>
      <c r="N100" s="243">
        <f>'ADMININSTRACIÓN DIR - OBRA'!AF441</f>
        <v>1388</v>
      </c>
      <c r="O100" s="243" t="str">
        <f>'ADMININSTRACIÓN DIR - OBRA'!AG441</f>
        <v>M2</v>
      </c>
      <c r="P100" s="2" t="s">
        <v>4932</v>
      </c>
      <c r="Q100" s="2"/>
    </row>
    <row r="101" spans="1:17" ht="54.75" customHeight="1">
      <c r="A101" s="1"/>
      <c r="B101" s="1646"/>
      <c r="C101" s="1" t="str">
        <f>OBRA!CE440</f>
        <v>2018-2021</v>
      </c>
      <c r="D101" s="1">
        <f>OBRA!K440</f>
        <v>2020</v>
      </c>
      <c r="E101" s="1644" t="str">
        <f>OBRA!P440</f>
        <v>ADMINISTRACIÓN DIRECTA</v>
      </c>
      <c r="F101" s="1305" t="str">
        <f>OBRA!O440</f>
        <v>DOP/AD/010/2020</v>
      </c>
      <c r="G101" s="3" t="str">
        <f>OBRA!Q440</f>
        <v>CONSTRUCCIÓN DE EMPEDRADO ZAMPEADO EN VIALIDAD AV. DEL TRABAJO DE KM 0+000.00 AL KM 0+215.00 (ENTRE VICENTE GUERRERO Y ALLENDE) SAN CRISTOBAL</v>
      </c>
      <c r="H101" s="1644" t="s">
        <v>4755</v>
      </c>
      <c r="I101" s="3" t="str">
        <f>OBRA!R440</f>
        <v>SAN CRISTÓBAL ZAPOTITLÁN</v>
      </c>
      <c r="J101" s="3" t="s">
        <v>3422</v>
      </c>
      <c r="K101" s="3" t="s">
        <v>2531</v>
      </c>
      <c r="L101" s="3" t="s">
        <v>4645</v>
      </c>
      <c r="M101" s="1679">
        <f>OBRA!S440</f>
        <v>410787.6</v>
      </c>
      <c r="N101" s="243">
        <f>'ADMININSTRACIÓN DIR - OBRA'!AF442</f>
        <v>1388</v>
      </c>
      <c r="O101" s="243" t="str">
        <f>'ADMININSTRACIÓN DIR - OBRA'!AG442</f>
        <v>M2</v>
      </c>
      <c r="P101" s="2" t="s">
        <v>4932</v>
      </c>
      <c r="Q101" s="2"/>
    </row>
    <row r="102" spans="1:17" ht="87" customHeight="1">
      <c r="A102" s="1"/>
      <c r="B102" s="1646" t="s">
        <v>1176</v>
      </c>
      <c r="C102" s="1" t="str">
        <f>OBRA!CE441</f>
        <v>2018-2021</v>
      </c>
      <c r="D102" s="1">
        <f>OBRA!K441</f>
        <v>2020</v>
      </c>
      <c r="E102" s="1644"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44" t="s">
        <v>4755</v>
      </c>
      <c r="I102" s="3" t="str">
        <f>OBRA!R441</f>
        <v>SAN CRISTÓBAL ZAPOTITLÁN</v>
      </c>
      <c r="J102" s="3" t="s">
        <v>3422</v>
      </c>
      <c r="K102" s="3" t="s">
        <v>2531</v>
      </c>
      <c r="L102" s="3" t="s">
        <v>4645</v>
      </c>
      <c r="M102" s="1679">
        <f>OBRA!S441</f>
        <v>149317.53</v>
      </c>
      <c r="N102" s="243">
        <f>'ADMININSTRACIÓN DIR - OBRA'!AF443</f>
        <v>1720</v>
      </c>
      <c r="O102" s="243" t="str">
        <f>'ADMININSTRACIÓN DIR - OBRA'!AG443</f>
        <v>M2</v>
      </c>
      <c r="P102" s="2" t="s">
        <v>4932</v>
      </c>
      <c r="Q102" s="2"/>
    </row>
    <row r="103" spans="1:17" ht="45">
      <c r="A103" s="1"/>
      <c r="B103" s="1646"/>
      <c r="C103" s="1" t="str">
        <f>OBRA!CE442</f>
        <v>2018-2021</v>
      </c>
      <c r="D103" s="1">
        <f>OBRA!K442</f>
        <v>2020</v>
      </c>
      <c r="E103" s="1644" t="str">
        <f>OBRA!P442</f>
        <v>ADMINISTRACIÓN DIRECTA</v>
      </c>
      <c r="F103" s="1305" t="str">
        <f>OBRA!O442</f>
        <v>DOP/AD/011/2020</v>
      </c>
      <c r="G103" s="3" t="str">
        <f>OBRA!Q442</f>
        <v>CONSTRUCCIÓN DE EMPEDRADO ZAMPEADO EN CALLES DE LA AGENCIA DE EL SAUZ</v>
      </c>
      <c r="H103" s="1644" t="s">
        <v>4755</v>
      </c>
      <c r="I103" s="3" t="str">
        <f>OBRA!R442</f>
        <v>EL SAÚZ</v>
      </c>
      <c r="J103" s="3" t="s">
        <v>4902</v>
      </c>
      <c r="K103" s="3" t="s">
        <v>67</v>
      </c>
      <c r="L103" s="3" t="s">
        <v>67</v>
      </c>
      <c r="M103" s="1679">
        <f>OBRA!S442</f>
        <v>781012.26</v>
      </c>
      <c r="N103" s="243">
        <f>'ADMININSTRACIÓN DIR - OBRA'!AF444</f>
        <v>1720</v>
      </c>
      <c r="O103" s="243" t="str">
        <f>'ADMININSTRACIÓN DIR - OBRA'!AG444</f>
        <v>M2</v>
      </c>
      <c r="P103" s="2" t="s">
        <v>4932</v>
      </c>
      <c r="Q103" s="2"/>
    </row>
    <row r="104" spans="1:17" ht="45">
      <c r="A104" s="1"/>
      <c r="B104" s="1646" t="s">
        <v>1176</v>
      </c>
      <c r="C104" s="1" t="str">
        <f>OBRA!CE443</f>
        <v>2018-2021</v>
      </c>
      <c r="D104" s="1">
        <f>OBRA!K443</f>
        <v>2020</v>
      </c>
      <c r="E104" s="1644" t="str">
        <f>OBRA!P443</f>
        <v>ADMINISTRACIÓN DIRECTA</v>
      </c>
      <c r="F104" s="1305" t="str">
        <f>OBRA!O443</f>
        <v>DOP/AD/011-A/2020</v>
      </c>
      <c r="G104" s="3" t="str">
        <f>OBRA!Q443</f>
        <v>CONSTRUCCIÓN DE EMPEDRADO ZAMPEADO, EN LA AGENCIA DE EL SAUZ</v>
      </c>
      <c r="H104" s="1644" t="s">
        <v>4755</v>
      </c>
      <c r="I104" s="3" t="str">
        <f>OBRA!R443</f>
        <v>EL SAÚZ</v>
      </c>
      <c r="J104" s="3" t="s">
        <v>4902</v>
      </c>
      <c r="K104" s="3" t="s">
        <v>67</v>
      </c>
      <c r="L104" s="3" t="s">
        <v>67</v>
      </c>
      <c r="M104" s="1679">
        <f>OBRA!S443</f>
        <v>289700.96999999997</v>
      </c>
      <c r="N104" s="243">
        <f>'ADMININSTRACIÓN DIR - OBRA'!AF445</f>
        <v>3181.05</v>
      </c>
      <c r="O104" s="243" t="str">
        <f>'ADMININSTRACIÓN DIR - OBRA'!AG445</f>
        <v>M2</v>
      </c>
      <c r="P104" s="2" t="s">
        <v>4932</v>
      </c>
      <c r="Q104" s="2"/>
    </row>
    <row r="105" spans="1:17" ht="59.25" customHeight="1">
      <c r="A105" s="1"/>
      <c r="B105" s="1646"/>
      <c r="C105" s="1" t="str">
        <f>OBRA!CE444</f>
        <v>2018-2021</v>
      </c>
      <c r="D105" s="1">
        <f>OBRA!K444</f>
        <v>2020</v>
      </c>
      <c r="E105" s="1644" t="str">
        <f>OBRA!P444</f>
        <v>ADMINISTRACIÓN DIRECTA</v>
      </c>
      <c r="F105" s="1305" t="str">
        <f>OBRA!O444</f>
        <v>DOP/AD/012/2020</v>
      </c>
      <c r="G105" s="3" t="str">
        <f>OBRA!Q444</f>
        <v>CONSTRUCCIÓN DE EMPEDRADO ZAMPEADO EN VIALIDAD ANDADOR PEATONAL ENTRE SAN LUCIANO Y SAN LUCIANO DE ABAJO DE KM 0+000.00 AL KM 0+746.00, SAN LUCIANO</v>
      </c>
      <c r="H105" s="1644" t="s">
        <v>4755</v>
      </c>
      <c r="I105" s="3" t="str">
        <f>OBRA!R444</f>
        <v>SAN LUCIANO</v>
      </c>
      <c r="J105" s="3" t="s">
        <v>4786</v>
      </c>
      <c r="K105" s="3" t="s">
        <v>67</v>
      </c>
      <c r="L105" s="3" t="s">
        <v>67</v>
      </c>
      <c r="M105" s="1679">
        <f>OBRA!S444</f>
        <v>448092.36</v>
      </c>
      <c r="N105" s="243">
        <f>'ADMININSTRACIÓN DIR - OBRA'!AF446</f>
        <v>3181.05</v>
      </c>
      <c r="O105" s="243" t="str">
        <f>'ADMININSTRACIÓN DIR - OBRA'!AG446</f>
        <v>M2</v>
      </c>
      <c r="P105" s="2" t="s">
        <v>4932</v>
      </c>
      <c r="Q105" s="2"/>
    </row>
    <row r="106" spans="1:17" ht="81.75" customHeight="1">
      <c r="A106" s="1"/>
      <c r="B106" s="1646" t="s">
        <v>1176</v>
      </c>
      <c r="C106" s="1" t="str">
        <f>OBRA!CE445</f>
        <v>2018-2021</v>
      </c>
      <c r="D106" s="1">
        <f>OBRA!K445</f>
        <v>2020</v>
      </c>
      <c r="E106" s="1644"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44" t="s">
        <v>4755</v>
      </c>
      <c r="I106" s="3" t="str">
        <f>OBRA!R445</f>
        <v>SAN LUCIANO</v>
      </c>
      <c r="J106" s="3" t="s">
        <v>4786</v>
      </c>
      <c r="K106" s="3" t="s">
        <v>67</v>
      </c>
      <c r="L106" s="3" t="s">
        <v>67</v>
      </c>
      <c r="M106" s="1679">
        <f>OBRA!S445</f>
        <v>180637.7</v>
      </c>
      <c r="N106" s="243">
        <f>'ADMININSTRACIÓN DIR - OBRA'!AF447</f>
        <v>1492</v>
      </c>
      <c r="O106" s="243" t="str">
        <f>'ADMININSTRACIÓN DIR - OBRA'!AG447</f>
        <v>M2</v>
      </c>
      <c r="P106" s="2" t="s">
        <v>4932</v>
      </c>
      <c r="Q106" s="2"/>
    </row>
    <row r="107" spans="1:17" ht="84.75" customHeight="1">
      <c r="A107" s="1"/>
      <c r="B107" s="1646"/>
      <c r="C107" s="1" t="str">
        <f>OBRA!CE446</f>
        <v>2018-2021</v>
      </c>
      <c r="D107" s="1">
        <f>OBRA!K446</f>
        <v>2020</v>
      </c>
      <c r="E107" s="1644"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44" t="s">
        <v>4755</v>
      </c>
      <c r="I107" s="3" t="str">
        <f>OBRA!R446</f>
        <v>CABECERA MUNICIPAL</v>
      </c>
      <c r="J107" s="3" t="s">
        <v>4787</v>
      </c>
      <c r="K107" s="3" t="s">
        <v>67</v>
      </c>
      <c r="L107" s="3" t="s">
        <v>67</v>
      </c>
      <c r="M107" s="1679">
        <f>OBRA!S446</f>
        <v>846155.00000000012</v>
      </c>
      <c r="N107" s="243">
        <f>'ADMININSTRACIÓN DIR - OBRA'!AF448</f>
        <v>1492</v>
      </c>
      <c r="O107" s="243" t="str">
        <f>'ADMININSTRACIÓN DIR - OBRA'!AG448</f>
        <v>M2</v>
      </c>
      <c r="P107" s="2" t="s">
        <v>4932</v>
      </c>
      <c r="Q107" s="2"/>
    </row>
    <row r="108" spans="1:17" ht="51.75" customHeight="1">
      <c r="A108" s="1"/>
      <c r="B108" s="1646" t="s">
        <v>1176</v>
      </c>
      <c r="C108" s="1" t="str">
        <f>OBRA!CE447</f>
        <v>2018-2021</v>
      </c>
      <c r="D108" s="1">
        <f>OBRA!K447</f>
        <v>2020</v>
      </c>
      <c r="E108" s="1644" t="str">
        <f>OBRA!P447</f>
        <v>ADMINISTRACIÓN DIRECTA</v>
      </c>
      <c r="F108" s="1305" t="str">
        <f>OBRA!O447</f>
        <v>DOP/AD/013-A/2020</v>
      </c>
      <c r="G108" s="3" t="str">
        <f>OBRA!Q447</f>
        <v>CONSTRUCCIÓN DE EMPEDRADO ZAMPEADO, EN FRACC. "EL CARRIZAL", EN LA CABECERA MUNICIPAL DE JOCOTEPEC JALISCO.</v>
      </c>
      <c r="H108" s="1644" t="s">
        <v>4755</v>
      </c>
      <c r="I108" s="3" t="str">
        <f>OBRA!R447</f>
        <v>CABECERA MUNICIPAL</v>
      </c>
      <c r="J108" s="3" t="s">
        <v>4787</v>
      </c>
      <c r="K108" s="3" t="s">
        <v>67</v>
      </c>
      <c r="L108" s="3" t="s">
        <v>67</v>
      </c>
      <c r="M108" s="1679">
        <f>OBRA!S447</f>
        <v>219218.46</v>
      </c>
      <c r="N108" s="243">
        <f>'ADMININSTRACIÓN DIR - OBRA'!AF449</f>
        <v>3500</v>
      </c>
      <c r="O108" s="243" t="str">
        <f>'ADMININSTRACIÓN DIR - OBRA'!AG449</f>
        <v>M2</v>
      </c>
      <c r="P108" s="2" t="s">
        <v>4932</v>
      </c>
      <c r="Q108" s="2"/>
    </row>
    <row r="109" spans="1:17" ht="60">
      <c r="A109" s="1"/>
      <c r="B109" s="1646"/>
      <c r="C109" s="1" t="str">
        <f>OBRA!CE448</f>
        <v>2018-2021</v>
      </c>
      <c r="D109" s="1">
        <f>OBRA!K448</f>
        <v>2020</v>
      </c>
      <c r="E109" s="1644"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44" t="s">
        <v>4755</v>
      </c>
      <c r="I109" s="3" t="str">
        <f>OBRA!R448</f>
        <v>CABECERA MUNICIPAL</v>
      </c>
      <c r="J109" s="3" t="s">
        <v>2622</v>
      </c>
      <c r="K109" s="3" t="s">
        <v>4775</v>
      </c>
      <c r="L109" s="3" t="s">
        <v>4770</v>
      </c>
      <c r="M109" s="1679">
        <f>OBRA!S448</f>
        <v>367959.98</v>
      </c>
      <c r="N109" s="243">
        <f>'ADMININSTRACIÓN DIR - OBRA'!AF450</f>
        <v>3500</v>
      </c>
      <c r="O109" s="243" t="str">
        <f>'ADMININSTRACIÓN DIR - OBRA'!AG450</f>
        <v>M2</v>
      </c>
      <c r="P109" s="2" t="s">
        <v>4932</v>
      </c>
      <c r="Q109" s="2"/>
    </row>
    <row r="110" spans="1:17" ht="60">
      <c r="A110" s="1"/>
      <c r="B110" s="1646" t="s">
        <v>1176</v>
      </c>
      <c r="C110" s="1" t="str">
        <f>OBRA!CE449</f>
        <v>2018-2021</v>
      </c>
      <c r="D110" s="1">
        <f>OBRA!K449</f>
        <v>2020</v>
      </c>
      <c r="E110" s="1644"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44" t="s">
        <v>4755</v>
      </c>
      <c r="I110" s="3" t="str">
        <f>OBRA!R449</f>
        <v>CABECERA MUNICIPAL</v>
      </c>
      <c r="J110" s="3" t="s">
        <v>2622</v>
      </c>
      <c r="K110" s="3" t="s">
        <v>4775</v>
      </c>
      <c r="L110" s="3" t="s">
        <v>4770</v>
      </c>
      <c r="M110" s="1679">
        <f>OBRA!S449</f>
        <v>134912.99</v>
      </c>
      <c r="N110" s="243">
        <f>'ADMININSTRACIÓN DIR - OBRA'!AF451</f>
        <v>1557.64</v>
      </c>
      <c r="O110" s="243" t="str">
        <f>'ADMININSTRACIÓN DIR - OBRA'!AG451</f>
        <v>M2</v>
      </c>
      <c r="P110" s="2" t="s">
        <v>4932</v>
      </c>
      <c r="Q110" s="2"/>
    </row>
    <row r="111" spans="1:17" ht="60">
      <c r="A111" s="1"/>
      <c r="B111" s="1646"/>
      <c r="C111" s="1" t="str">
        <f>OBRA!CE450</f>
        <v>2018-2021</v>
      </c>
      <c r="D111" s="1">
        <f>OBRA!K450</f>
        <v>2020</v>
      </c>
      <c r="E111" s="1644"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44" t="s">
        <v>4755</v>
      </c>
      <c r="I111" s="3" t="str">
        <f>OBRA!R450</f>
        <v>CABECERA MUNICIPAL</v>
      </c>
      <c r="J111" s="3" t="s">
        <v>4788</v>
      </c>
      <c r="K111" s="3" t="s">
        <v>67</v>
      </c>
      <c r="L111" s="3" t="s">
        <v>67</v>
      </c>
      <c r="M111" s="1679">
        <f>OBRA!S450</f>
        <v>856034.87000000011</v>
      </c>
      <c r="N111" s="243">
        <f>'ADMININSTRACIÓN DIR - OBRA'!AF452</f>
        <v>1557.64</v>
      </c>
      <c r="O111" s="243" t="str">
        <f>'ADMININSTRACIÓN DIR - OBRA'!AG452</f>
        <v>M2</v>
      </c>
      <c r="P111" s="2" t="s">
        <v>4932</v>
      </c>
      <c r="Q111" s="2"/>
    </row>
    <row r="112" spans="1:17" ht="60">
      <c r="A112" s="1"/>
      <c r="B112" s="1646"/>
      <c r="C112" s="1" t="str">
        <f>OBRA!CE451</f>
        <v>2018-2021</v>
      </c>
      <c r="D112" s="1">
        <f>OBRA!K451</f>
        <v>2020</v>
      </c>
      <c r="E112" s="1644"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44" t="s">
        <v>4755</v>
      </c>
      <c r="I112" s="3" t="str">
        <f>OBRA!R451</f>
        <v>CABECERA MUNICIPAL</v>
      </c>
      <c r="J112" s="3" t="s">
        <v>3146</v>
      </c>
      <c r="K112" s="3" t="s">
        <v>4789</v>
      </c>
      <c r="L112" s="3" t="s">
        <v>2514</v>
      </c>
      <c r="M112" s="1679">
        <f>OBRA!S451</f>
        <v>196467.44</v>
      </c>
      <c r="N112" s="243">
        <f>'ADMININSTRACIÓN DIR - OBRA'!AF453</f>
        <v>3576.5</v>
      </c>
      <c r="O112" s="243" t="str">
        <f>'ADMININSTRACIÓN DIR - OBRA'!AG453</f>
        <v>M2</v>
      </c>
      <c r="P112" s="2" t="s">
        <v>4932</v>
      </c>
      <c r="Q112" s="2"/>
    </row>
    <row r="113" spans="1:17" ht="50.25" customHeight="1">
      <c r="A113" s="1"/>
      <c r="B113" s="1646" t="s">
        <v>1176</v>
      </c>
      <c r="C113" s="1" t="str">
        <f>OBRA!CE452</f>
        <v>2018-2021</v>
      </c>
      <c r="D113" s="1">
        <f>OBRA!K452</f>
        <v>2020</v>
      </c>
      <c r="E113" s="1644" t="str">
        <f>OBRA!P452</f>
        <v>ADMINISTRACIÓN DIRECTA</v>
      </c>
      <c r="F113" s="1305" t="str">
        <f>OBRA!O452</f>
        <v>DOP/AD/015-A/2020</v>
      </c>
      <c r="G113" s="3" t="str">
        <f>OBRA!Q452</f>
        <v>CONSTRUCCIÓN DE EMPEDRADO ZAMPEADO EN FRACC. "LAS PALMAS", EN LA CABECERA MUNICIPAL DE JOCOTEPEC, JALISCO.</v>
      </c>
      <c r="H113" s="1644" t="s">
        <v>4755</v>
      </c>
      <c r="I113" s="3" t="str">
        <f>OBRA!R452</f>
        <v>CABECERA MUNICIPAL</v>
      </c>
      <c r="J113" s="3" t="s">
        <v>4903</v>
      </c>
      <c r="K113" s="3" t="s">
        <v>67</v>
      </c>
      <c r="L113" s="3" t="s">
        <v>67</v>
      </c>
      <c r="M113" s="1679">
        <f>OBRA!S452</f>
        <v>230070.08</v>
      </c>
      <c r="N113" s="243">
        <f>'ADMININSTRACIÓN DIR - OBRA'!AF454</f>
        <v>740.62</v>
      </c>
      <c r="O113" s="243" t="str">
        <f>'ADMININSTRACIÓN DIR - OBRA'!AG454</f>
        <v>M2</v>
      </c>
      <c r="P113" s="2" t="s">
        <v>4932</v>
      </c>
      <c r="Q113" s="2"/>
    </row>
    <row r="114" spans="1:17" ht="60" customHeight="1">
      <c r="A114" s="1"/>
      <c r="B114" s="1646"/>
      <c r="C114" s="1" t="str">
        <f>OBRA!CE453</f>
        <v>2018-2021</v>
      </c>
      <c r="D114" s="1">
        <f>OBRA!K453</f>
        <v>2020</v>
      </c>
      <c r="E114" s="1644" t="str">
        <f>OBRA!P453</f>
        <v>ADMINISTRACIÓN DIRECTA</v>
      </c>
      <c r="F114" s="1305" t="str">
        <f>OBRA!O453</f>
        <v>DOP/AD/016/2020</v>
      </c>
      <c r="G114" s="3" t="str">
        <f>OBRA!Q453</f>
        <v>CONSTRUCCIÓN DE EMPEDRADO ZAMPEADO EN C. INVIERNO, C. LAZARO CARDENAS, C. GONZALEZ ORTEGA Y CHAPULTEPEC EN CABECERA MUNICIPAL DE JOCOTEPEC, JALISCO.</v>
      </c>
      <c r="H114" s="1644" t="s">
        <v>4755</v>
      </c>
      <c r="I114" s="3" t="str">
        <f>OBRA!R453</f>
        <v>CABECERA MUNICIPAL</v>
      </c>
      <c r="J114" s="3" t="s">
        <v>4790</v>
      </c>
      <c r="K114" s="3" t="s">
        <v>67</v>
      </c>
      <c r="L114" s="3" t="s">
        <v>67</v>
      </c>
      <c r="M114" s="1679">
        <f>OBRA!S453</f>
        <v>1291558.55</v>
      </c>
      <c r="N114" s="243">
        <f>'ADMININSTRACIÓN DIR - OBRA'!AF455</f>
        <v>740.62</v>
      </c>
      <c r="O114" s="243" t="str">
        <f>'ADMININSTRACIÓN DIR - OBRA'!AG455</f>
        <v>M2</v>
      </c>
      <c r="P114" s="2" t="s">
        <v>4932</v>
      </c>
      <c r="Q114" s="2"/>
    </row>
    <row r="115" spans="1:17" ht="64.5" customHeight="1">
      <c r="A115" s="1"/>
      <c r="B115" s="1646" t="s">
        <v>1176</v>
      </c>
      <c r="C115" s="1" t="str">
        <f>OBRA!CE454</f>
        <v>2018-2021</v>
      </c>
      <c r="D115" s="1">
        <f>OBRA!K454</f>
        <v>2020</v>
      </c>
      <c r="E115" s="1644" t="str">
        <f>OBRA!P454</f>
        <v>ADMINISTRACIÓN DIRECTA</v>
      </c>
      <c r="F115" s="1305" t="str">
        <f>OBRA!O454</f>
        <v>DOP/AD/016-A/2020</v>
      </c>
      <c r="G115" s="3" t="str">
        <f>OBRA!Q454</f>
        <v>CONSTRUCCIÓN DE EMPEDRADO ZAMPEADO EN C. INVIERNO, C. LAZARO CARDENAS, C. GONZALEZ ORTEGA Y CHAPULTEPEC EN CABECERA MUNICIPAL DE JOCOTEPEC, JALISCO.</v>
      </c>
      <c r="H115" s="1644" t="s">
        <v>4755</v>
      </c>
      <c r="I115" s="3" t="str">
        <f>OBRA!R454</f>
        <v>CABECERA MUNICIPAL</v>
      </c>
      <c r="J115" s="3" t="s">
        <v>4790</v>
      </c>
      <c r="K115" s="3" t="s">
        <v>67</v>
      </c>
      <c r="L115" s="3" t="s">
        <v>67</v>
      </c>
      <c r="M115" s="1679">
        <f>OBRA!S454</f>
        <v>542961</v>
      </c>
      <c r="N115" s="243">
        <f>'ADMININSTRACIÓN DIR - OBRA'!AF456</f>
        <v>5527.87</v>
      </c>
      <c r="O115" s="243" t="str">
        <f>'ADMININSTRACIÓN DIR - OBRA'!AG456</f>
        <v>M2</v>
      </c>
      <c r="P115" s="2" t="s">
        <v>4932</v>
      </c>
      <c r="Q115" s="2"/>
    </row>
    <row r="116" spans="1:17" ht="60" hidden="1">
      <c r="A116" s="1"/>
      <c r="B116" s="1"/>
      <c r="C116" s="1" t="str">
        <f>OBRA!CE455</f>
        <v>2018-2021</v>
      </c>
      <c r="D116" s="1">
        <f>OBRA!K455</f>
        <v>2020</v>
      </c>
      <c r="E116" s="1644" t="str">
        <f>OBRA!P455</f>
        <v>SERVICIOS</v>
      </c>
      <c r="F116" s="1644"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48">
        <f>OBRA!AT455+OBRA!AU455</f>
        <v>0</v>
      </c>
      <c r="N116" s="1">
        <f>'ADMININSTRACIÓN DIR - OBRA'!AF457</f>
        <v>5527.87</v>
      </c>
      <c r="O116" s="1" t="str">
        <f>'ADMININSTRACIÓN DIR - OBRA'!AG457</f>
        <v>M2</v>
      </c>
      <c r="P116" s="1"/>
      <c r="Q116" s="1"/>
    </row>
    <row r="117" spans="1:17" ht="165" hidden="1">
      <c r="A117" s="1"/>
      <c r="B117" s="1"/>
      <c r="C117" s="1" t="str">
        <f>OBRA!CE456</f>
        <v>2018-2021</v>
      </c>
      <c r="D117" s="1">
        <f>OBRA!K456</f>
        <v>2020</v>
      </c>
      <c r="E117" s="1644" t="str">
        <f>OBRA!P456</f>
        <v>SERVICIOS</v>
      </c>
      <c r="F117" s="1644"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48">
        <f>OBRA!AT456+OBRA!AU456</f>
        <v>0</v>
      </c>
      <c r="N117" s="1">
        <f>'ADMININSTRACIÓN DIR - OBRA'!AF458</f>
        <v>1</v>
      </c>
      <c r="O117" s="1" t="str">
        <f>'ADMININSTRACIÓN DIR - OBRA'!AG458</f>
        <v>POZO</v>
      </c>
      <c r="P117" s="1"/>
      <c r="Q117" s="1"/>
    </row>
    <row r="118" spans="1:17" ht="22.5" hidden="1">
      <c r="A118" s="1"/>
      <c r="B118" s="1"/>
      <c r="C118" s="1" t="str">
        <f>OBRA!CE457</f>
        <v>2018-2021</v>
      </c>
      <c r="D118" s="1">
        <f>OBRA!K457</f>
        <v>2020</v>
      </c>
      <c r="E118" s="1644" t="str">
        <f>OBRA!P457</f>
        <v>CANCELADA</v>
      </c>
      <c r="F118" s="1644" t="str">
        <f>OBRA!O457</f>
        <v>C.P.S.P. DOP 003/2020</v>
      </c>
      <c r="G118" s="3" t="str">
        <f>OBRA!Q457</f>
        <v>CONTRATO CANCELADO</v>
      </c>
      <c r="H118" s="1"/>
      <c r="I118" s="3">
        <f>OBRA!R457</f>
        <v>0</v>
      </c>
      <c r="J118" s="3"/>
      <c r="K118" s="3"/>
      <c r="L118" s="3"/>
      <c r="M118" s="1648">
        <f>OBRA!AT457+OBRA!AU457</f>
        <v>0</v>
      </c>
      <c r="N118" s="1">
        <f>'ADMININSTRACIÓN DIR - OBRA'!AF459</f>
        <v>240</v>
      </c>
      <c r="O118" s="1" t="str">
        <f>'ADMININSTRACIÓN DIR - OBRA'!AG459</f>
        <v>ML</v>
      </c>
      <c r="P118" s="1"/>
      <c r="Q118" s="1"/>
    </row>
    <row r="119" spans="1:17" ht="75" hidden="1">
      <c r="A119" s="1"/>
      <c r="B119" s="1"/>
      <c r="C119" s="1" t="str">
        <f>OBRA!CE458</f>
        <v>2018-2021</v>
      </c>
      <c r="D119" s="1">
        <f>OBRA!K458</f>
        <v>2020</v>
      </c>
      <c r="E119" s="1644" t="str">
        <f>OBRA!P458</f>
        <v>SERVICIOS</v>
      </c>
      <c r="F119" s="1644"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48">
        <f>OBRA!AT458+OBRA!AU458</f>
        <v>0</v>
      </c>
      <c r="N119" s="1">
        <f>'ADMININSTRACIÓN DIR - OBRA'!AF460</f>
        <v>1</v>
      </c>
      <c r="O119" s="1" t="str">
        <f>'ADMININSTRACIÓN DIR - OBRA'!AG460</f>
        <v>LOTE</v>
      </c>
      <c r="P119" s="1"/>
      <c r="Q119" s="1"/>
    </row>
    <row r="120" spans="1:17" ht="75" hidden="1">
      <c r="A120" s="1"/>
      <c r="B120" s="1"/>
      <c r="C120" s="1" t="str">
        <f>OBRA!CE459</f>
        <v>2018-2021</v>
      </c>
      <c r="D120" s="1">
        <f>OBRA!K459</f>
        <v>2020</v>
      </c>
      <c r="E120" s="1644" t="str">
        <f>OBRA!P459</f>
        <v>SERVICIOS</v>
      </c>
      <c r="F120" s="1644"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48">
        <f>OBRA!AT459+OBRA!AU459</f>
        <v>0</v>
      </c>
      <c r="N120" s="1">
        <f>'ADMININSTRACIÓN DIR - OBRA'!AF461</f>
        <v>1</v>
      </c>
      <c r="O120" s="1" t="str">
        <f>'ADMININSTRACIÓN DIR - OBRA'!AG461</f>
        <v>LOTE</v>
      </c>
      <c r="P120" s="1"/>
      <c r="Q120" s="1"/>
    </row>
    <row r="121" spans="1:17" ht="60" hidden="1">
      <c r="A121" s="1"/>
      <c r="B121" s="1"/>
      <c r="C121" s="1" t="str">
        <f>OBRA!CE460</f>
        <v>2018-2021</v>
      </c>
      <c r="D121" s="1">
        <f>OBRA!K460</f>
        <v>2020</v>
      </c>
      <c r="E121" s="1644" t="str">
        <f>OBRA!P460</f>
        <v>SERVICIOS</v>
      </c>
      <c r="F121" s="1644"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48">
        <f>OBRA!AT460+OBRA!AU460</f>
        <v>0</v>
      </c>
      <c r="N121" s="1">
        <f>'ADMININSTRACIÓN DIR - OBRA'!AF462</f>
        <v>1</v>
      </c>
      <c r="O121" s="1" t="str">
        <f>'ADMININSTRACIÓN DIR - OBRA'!AG462</f>
        <v>LOTE</v>
      </c>
      <c r="P121" s="1"/>
      <c r="Q121" s="1"/>
    </row>
    <row r="122" spans="1:17" ht="60" hidden="1">
      <c r="A122" s="1"/>
      <c r="B122" s="1"/>
      <c r="C122" s="1" t="str">
        <f>OBRA!CE461</f>
        <v>2018-2021</v>
      </c>
      <c r="D122" s="1">
        <f>OBRA!K461</f>
        <v>2020</v>
      </c>
      <c r="E122" s="1644" t="str">
        <f>OBRA!P461</f>
        <v>SERVICIOS</v>
      </c>
      <c r="F122" s="1644"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48">
        <f>OBRA!AT461+OBRA!AU461</f>
        <v>0</v>
      </c>
      <c r="N122" s="1">
        <f>'ADMININSTRACIÓN DIR - OBRA'!AF463</f>
        <v>1</v>
      </c>
      <c r="O122" s="1" t="str">
        <f>'ADMININSTRACIÓN DIR - OBRA'!AG463</f>
        <v>LOTE</v>
      </c>
      <c r="P122" s="1"/>
      <c r="Q122" s="1"/>
    </row>
    <row r="123" spans="1:17" ht="60" hidden="1">
      <c r="A123" s="1"/>
      <c r="B123" s="1"/>
      <c r="C123" s="1" t="str">
        <f>OBRA!CE462</f>
        <v>2018-2021</v>
      </c>
      <c r="D123" s="1">
        <f>OBRA!K462</f>
        <v>2020</v>
      </c>
      <c r="E123" s="1644" t="str">
        <f>OBRA!P462</f>
        <v>SERVICIOS</v>
      </c>
      <c r="F123" s="1644"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48">
        <f>OBRA!AT462+OBRA!AU462</f>
        <v>0</v>
      </c>
      <c r="N123" s="1">
        <f>'ADMININSTRACIÓN DIR - OBRA'!AF464</f>
        <v>1</v>
      </c>
      <c r="O123" s="1" t="str">
        <f>'ADMININSTRACIÓN DIR - OBRA'!AG464</f>
        <v>LOTE</v>
      </c>
      <c r="P123" s="1"/>
      <c r="Q123" s="1"/>
    </row>
    <row r="124" spans="1:17" ht="60" hidden="1">
      <c r="A124" s="1"/>
      <c r="B124" s="1"/>
      <c r="C124" s="1" t="str">
        <f>OBRA!CE463</f>
        <v>2018-2021</v>
      </c>
      <c r="D124" s="1">
        <f>OBRA!K463</f>
        <v>2020</v>
      </c>
      <c r="E124" s="1644" t="str">
        <f>OBRA!P463</f>
        <v>SERVICIOS</v>
      </c>
      <c r="F124" s="1644"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48">
        <f>OBRA!AT463+OBRA!AU463</f>
        <v>0</v>
      </c>
      <c r="N124" s="1">
        <f>'ADMININSTRACIÓN DIR - OBRA'!AF465</f>
        <v>1</v>
      </c>
      <c r="O124" s="1" t="str">
        <f>'ADMININSTRACIÓN DIR - OBRA'!AG465</f>
        <v>POZO</v>
      </c>
      <c r="P124" s="1"/>
      <c r="Q124" s="1"/>
    </row>
    <row r="125" spans="1:17" ht="75" hidden="1">
      <c r="A125" s="1"/>
      <c r="B125" s="1"/>
      <c r="C125" s="1" t="str">
        <f>OBRA!CE464</f>
        <v>2018-2021</v>
      </c>
      <c r="D125" s="1">
        <f>OBRA!K464</f>
        <v>2020</v>
      </c>
      <c r="E125" s="1644" t="str">
        <f>OBRA!P464</f>
        <v>SERVICIOS</v>
      </c>
      <c r="F125" s="1644"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48">
        <f>OBRA!AT464+OBRA!AU464</f>
        <v>0</v>
      </c>
      <c r="N125" s="1">
        <f>'ADMININSTRACIÓN DIR - OBRA'!AF466</f>
        <v>1</v>
      </c>
      <c r="O125" s="1" t="str">
        <f>'ADMININSTRACIÓN DIR - OBRA'!AG466</f>
        <v>LOTE</v>
      </c>
      <c r="P125" s="1"/>
      <c r="Q125" s="1"/>
    </row>
    <row r="126" spans="1:17" ht="45" hidden="1">
      <c r="A126" s="1"/>
      <c r="B126" s="1"/>
      <c r="C126" s="1" t="str">
        <f>OBRA!CE465</f>
        <v>2018-2021</v>
      </c>
      <c r="D126" s="1">
        <f>OBRA!K465</f>
        <v>2020</v>
      </c>
      <c r="E126" s="1644" t="str">
        <f>OBRA!P465</f>
        <v>SERVICIOS</v>
      </c>
      <c r="F126" s="1644"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48">
        <f>OBRA!AT465+OBRA!AU465</f>
        <v>0</v>
      </c>
      <c r="N126" s="1">
        <f>'ADMININSTRACIÓN DIR - OBRA'!AF467</f>
        <v>1</v>
      </c>
      <c r="O126" s="1" t="str">
        <f>'ADMININSTRACIÓN DIR - OBRA'!AG467</f>
        <v>LOTE</v>
      </c>
      <c r="P126" s="1"/>
      <c r="Q126" s="1"/>
    </row>
    <row r="127" spans="1:17" ht="135" hidden="1">
      <c r="A127" s="1"/>
      <c r="B127" s="1"/>
      <c r="C127" s="1" t="str">
        <f>OBRA!CE466</f>
        <v>2018-2021</v>
      </c>
      <c r="D127" s="1">
        <f>OBRA!K466</f>
        <v>2020</v>
      </c>
      <c r="E127" s="1644" t="str">
        <f>OBRA!P466</f>
        <v>SERVICIOS</v>
      </c>
      <c r="F127" s="1644"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48">
        <f>OBRA!AT466+OBRA!AU466</f>
        <v>0</v>
      </c>
      <c r="N127" s="1">
        <f>'ADMININSTRACIÓN DIR - OBRA'!AF468</f>
        <v>1</v>
      </c>
      <c r="O127" s="1" t="str">
        <f>'ADMININSTRACIÓN DIR - OBRA'!AG468</f>
        <v>LOTE</v>
      </c>
      <c r="P127" s="1"/>
      <c r="Q127" s="1"/>
    </row>
    <row r="128" spans="1:17" ht="90" hidden="1">
      <c r="A128" s="1"/>
      <c r="B128" s="1"/>
      <c r="C128" s="1" t="str">
        <f>OBRA!CE467</f>
        <v>2018-2021</v>
      </c>
      <c r="D128" s="1">
        <f>OBRA!K467</f>
        <v>2020</v>
      </c>
      <c r="E128" s="1644" t="str">
        <f>OBRA!P467</f>
        <v>SERVICIOS</v>
      </c>
      <c r="F128" s="1644"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48">
        <f>OBRA!AT467+OBRA!AU467</f>
        <v>0</v>
      </c>
      <c r="N128" s="1">
        <f>'ADMININSTRACIÓN DIR - OBRA'!AF469</f>
        <v>1</v>
      </c>
      <c r="O128" s="1" t="str">
        <f>'ADMININSTRACIÓN DIR - OBRA'!AG469</f>
        <v>LOTE</v>
      </c>
      <c r="P128" s="1"/>
      <c r="Q128" s="1"/>
    </row>
    <row r="129" spans="1:17" ht="90" hidden="1">
      <c r="A129" s="1"/>
      <c r="B129" s="1"/>
      <c r="C129" s="1" t="str">
        <f>OBRA!CE468</f>
        <v>2018-2021</v>
      </c>
      <c r="D129" s="1">
        <f>OBRA!K468</f>
        <v>2020</v>
      </c>
      <c r="E129" s="1644" t="str">
        <f>OBRA!P468</f>
        <v>SERVICIOS</v>
      </c>
      <c r="F129" s="1644"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48">
        <f>OBRA!AT468+OBRA!AU468</f>
        <v>0</v>
      </c>
      <c r="N129" s="1">
        <f>'ADMININSTRACIÓN DIR - OBRA'!AF470</f>
        <v>1</v>
      </c>
      <c r="O129" s="1" t="str">
        <f>'ADMININSTRACIÓN DIR - OBRA'!AG470</f>
        <v>LOTE</v>
      </c>
      <c r="P129" s="1"/>
      <c r="Q129" s="1"/>
    </row>
    <row r="130" spans="1:17" ht="105" hidden="1">
      <c r="A130" s="1"/>
      <c r="B130" s="1"/>
      <c r="C130" s="1" t="str">
        <f>OBRA!CE469</f>
        <v>2018-2021</v>
      </c>
      <c r="D130" s="1">
        <f>OBRA!K469</f>
        <v>2020</v>
      </c>
      <c r="E130" s="1644" t="str">
        <f>OBRA!P469</f>
        <v>SERVICIOS</v>
      </c>
      <c r="F130" s="1644"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48">
        <f>OBRA!AT469+OBRA!AU469</f>
        <v>0</v>
      </c>
      <c r="N130" s="1">
        <f>'ADMININSTRACIÓN DIR - OBRA'!AF471</f>
        <v>1</v>
      </c>
      <c r="O130" s="1" t="str">
        <f>'ADMININSTRACIÓN DIR - OBRA'!AG471</f>
        <v>LOTE</v>
      </c>
      <c r="P130" s="1"/>
      <c r="Q130" s="1"/>
    </row>
    <row r="131" spans="1:17" ht="90" hidden="1">
      <c r="A131" s="1"/>
      <c r="B131" s="1"/>
      <c r="C131" s="1" t="str">
        <f>OBRA!CE470</f>
        <v>2018-2021</v>
      </c>
      <c r="D131" s="1">
        <f>OBRA!K470</f>
        <v>2020</v>
      </c>
      <c r="E131" s="1644" t="str">
        <f>OBRA!P470</f>
        <v>SERVICIOS</v>
      </c>
      <c r="F131" s="1644"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48">
        <f>OBRA!AT470+OBRA!AU470</f>
        <v>0</v>
      </c>
      <c r="N131" s="1">
        <f>'ADMININSTRACIÓN DIR - OBRA'!AF472</f>
        <v>1</v>
      </c>
      <c r="O131" s="1" t="str">
        <f>'ADMININSTRACIÓN DIR - OBRA'!AG472</f>
        <v>LOTE</v>
      </c>
      <c r="P131" s="1"/>
      <c r="Q131" s="1"/>
    </row>
    <row r="132" spans="1:17" ht="45" hidden="1">
      <c r="A132" s="1"/>
      <c r="B132" s="1"/>
      <c r="C132" s="1" t="str">
        <f>OBRA!CE471</f>
        <v>2018-2021</v>
      </c>
      <c r="D132" s="1">
        <f>OBRA!K471</f>
        <v>2020</v>
      </c>
      <c r="E132" s="1644" t="str">
        <f>OBRA!P471</f>
        <v>SERVICIOS</v>
      </c>
      <c r="F132" s="1644"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48">
        <f>OBRA!AT471+OBRA!AU471</f>
        <v>0</v>
      </c>
      <c r="N132" s="1">
        <f>'ADMININSTRACIÓN DIR - OBRA'!AF473</f>
        <v>1</v>
      </c>
      <c r="O132" s="1" t="str">
        <f>'ADMININSTRACIÓN DIR - OBRA'!AG473</f>
        <v>LOTE</v>
      </c>
      <c r="P132" s="1"/>
      <c r="Q132" s="1"/>
    </row>
    <row r="133" spans="1:17" ht="45" hidden="1">
      <c r="A133" s="1"/>
      <c r="B133" s="1"/>
      <c r="C133" s="1" t="str">
        <f>OBRA!CE472</f>
        <v>2018-2021</v>
      </c>
      <c r="D133" s="1">
        <f>OBRA!K472</f>
        <v>2020</v>
      </c>
      <c r="E133" s="1644" t="str">
        <f>OBRA!P472</f>
        <v>SERVICIOS</v>
      </c>
      <c r="F133" s="1644"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48">
        <f>OBRA!AT472+OBRA!AU472</f>
        <v>0</v>
      </c>
      <c r="N133" s="1">
        <f>'ADMININSTRACIÓN DIR - OBRA'!AF474</f>
        <v>1</v>
      </c>
      <c r="O133" s="1" t="str">
        <f>'ADMININSTRACIÓN DIR - OBRA'!AG474</f>
        <v>LOTE</v>
      </c>
      <c r="P133" s="1"/>
      <c r="Q133" s="1"/>
    </row>
    <row r="134" spans="1:17" ht="60" hidden="1">
      <c r="A134" s="1"/>
      <c r="B134" s="1"/>
      <c r="C134" s="1" t="str">
        <f>OBRA!CE473</f>
        <v>2018-2021</v>
      </c>
      <c r="D134" s="1">
        <f>OBRA!K473</f>
        <v>2020</v>
      </c>
      <c r="E134" s="1644" t="str">
        <f>OBRA!P473</f>
        <v>SERVICIOS</v>
      </c>
      <c r="F134" s="1644"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48">
        <f>OBRA!AT473+OBRA!AU473</f>
        <v>0</v>
      </c>
      <c r="N134" s="1">
        <f>'ADMININSTRACIÓN DIR - OBRA'!AF475</f>
        <v>1</v>
      </c>
      <c r="O134" s="1" t="str">
        <f>'ADMININSTRACIÓN DIR - OBRA'!AG475</f>
        <v>LOTE</v>
      </c>
      <c r="P134" s="1"/>
      <c r="Q134" s="1"/>
    </row>
    <row r="135" spans="1:17" ht="60" hidden="1">
      <c r="A135" s="1"/>
      <c r="B135" s="1"/>
      <c r="C135" s="1" t="str">
        <f>OBRA!CE474</f>
        <v>2018-2021</v>
      </c>
      <c r="D135" s="1">
        <f>OBRA!K474</f>
        <v>2020</v>
      </c>
      <c r="E135" s="1644" t="str">
        <f>OBRA!P474</f>
        <v>SERVICIOS</v>
      </c>
      <c r="F135" s="1644"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48">
        <f>OBRA!AT474+OBRA!AU474</f>
        <v>0</v>
      </c>
      <c r="N135" s="1">
        <f>'ADMININSTRACIÓN DIR - OBRA'!AF476</f>
        <v>1</v>
      </c>
      <c r="O135" s="1" t="str">
        <f>'ADMININSTRACIÓN DIR - OBRA'!AG476</f>
        <v>LOTE</v>
      </c>
      <c r="P135" s="1"/>
      <c r="Q135" s="1"/>
    </row>
    <row r="136" spans="1:17" ht="45" hidden="1">
      <c r="A136" s="1"/>
      <c r="B136" s="1"/>
      <c r="C136" s="1" t="str">
        <f>OBRA!CE475</f>
        <v>2018-2021</v>
      </c>
      <c r="D136" s="1">
        <f>OBRA!K475</f>
        <v>2020</v>
      </c>
      <c r="E136" s="1644" t="str">
        <f>OBRA!P475</f>
        <v>SERVICIOS</v>
      </c>
      <c r="F136" s="1644"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48">
        <f>OBRA!AT475+OBRA!AU475</f>
        <v>0</v>
      </c>
      <c r="N136" s="1">
        <f>'ADMININSTRACIÓN DIR - OBRA'!AF477</f>
        <v>1</v>
      </c>
      <c r="O136" s="1" t="str">
        <f>'ADMININSTRACIÓN DIR - OBRA'!AG477</f>
        <v>LOTE</v>
      </c>
      <c r="P136" s="1"/>
      <c r="Q136" s="1"/>
    </row>
    <row r="137" spans="1:17" ht="60" hidden="1">
      <c r="A137" s="1"/>
      <c r="B137" s="1"/>
      <c r="C137" s="1" t="str">
        <f>OBRA!CE476</f>
        <v>2018-2021</v>
      </c>
      <c r="D137" s="1">
        <f>OBRA!K476</f>
        <v>2020</v>
      </c>
      <c r="E137" s="1644" t="str">
        <f>OBRA!P476</f>
        <v>SERVICIOS</v>
      </c>
      <c r="F137" s="1644"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48">
        <f>OBRA!AT476+OBRA!AU476</f>
        <v>0</v>
      </c>
      <c r="N137" s="1">
        <f>'ADMININSTRACIÓN DIR - OBRA'!AF478</f>
        <v>1</v>
      </c>
      <c r="O137" s="1" t="str">
        <f>'ADMININSTRACIÓN DIR - OBRA'!AG478</f>
        <v>LOTE</v>
      </c>
      <c r="P137" s="1"/>
      <c r="Q137" s="1"/>
    </row>
    <row r="138" spans="1:17" ht="60" hidden="1">
      <c r="A138" s="1"/>
      <c r="B138" s="1"/>
      <c r="C138" s="1" t="str">
        <f>OBRA!CE477</f>
        <v>2018-2021</v>
      </c>
      <c r="D138" s="1">
        <f>OBRA!K477</f>
        <v>2020</v>
      </c>
      <c r="E138" s="1644" t="str">
        <f>OBRA!P477</f>
        <v>SERVICIOS</v>
      </c>
      <c r="F138" s="1644"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48">
        <f>OBRA!AT477+OBRA!AU477</f>
        <v>0</v>
      </c>
      <c r="N138" s="1">
        <f>'ADMININSTRACIÓN DIR - OBRA'!AF479</f>
        <v>1</v>
      </c>
      <c r="O138" s="1" t="str">
        <f>'ADMININSTRACIÓN DIR - OBRA'!AG479</f>
        <v>LOTE</v>
      </c>
      <c r="P138" s="1"/>
      <c r="Q138" s="1"/>
    </row>
    <row r="139" spans="1:17" ht="60" hidden="1">
      <c r="A139" s="1"/>
      <c r="B139" s="1"/>
      <c r="C139" s="1" t="str">
        <f>OBRA!CE478</f>
        <v>2018-2021</v>
      </c>
      <c r="D139" s="1">
        <f>OBRA!K478</f>
        <v>2020</v>
      </c>
      <c r="E139" s="1644" t="str">
        <f>OBRA!P478</f>
        <v>SERVICIOS</v>
      </c>
      <c r="F139" s="1644"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48">
        <f>OBRA!AT478+OBRA!AU478</f>
        <v>0</v>
      </c>
      <c r="N139" s="1">
        <f>'ADMININSTRACIÓN DIR - OBRA'!AF480</f>
        <v>1</v>
      </c>
      <c r="O139" s="1" t="str">
        <f>'ADMININSTRACIÓN DIR - OBRA'!AG480</f>
        <v>LOTE</v>
      </c>
      <c r="P139" s="1"/>
      <c r="Q139" s="1"/>
    </row>
    <row r="140" spans="1:17" ht="60" hidden="1">
      <c r="A140" s="1"/>
      <c r="B140" s="1"/>
      <c r="C140" s="1" t="str">
        <f>OBRA!CE479</f>
        <v>2018-2021</v>
      </c>
      <c r="D140" s="1">
        <f>OBRA!K479</f>
        <v>2020</v>
      </c>
      <c r="E140" s="1644" t="str">
        <f>OBRA!P479</f>
        <v>SERVICIOS</v>
      </c>
      <c r="F140" s="1644"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48">
        <f>OBRA!AT479+OBRA!AU479</f>
        <v>0</v>
      </c>
      <c r="N140" s="1">
        <f>'ADMININSTRACIÓN DIR - OBRA'!AF481</f>
        <v>1</v>
      </c>
      <c r="O140" s="1" t="str">
        <f>'ADMININSTRACIÓN DIR - OBRA'!AG481</f>
        <v>LOTE</v>
      </c>
      <c r="P140" s="1"/>
      <c r="Q140" s="1"/>
    </row>
    <row r="141" spans="1:17" ht="60" hidden="1">
      <c r="A141" s="1"/>
      <c r="B141" s="1"/>
      <c r="C141" s="1" t="str">
        <f>OBRA!CE480</f>
        <v>2018-2021</v>
      </c>
      <c r="D141" s="1">
        <f>OBRA!K480</f>
        <v>2020</v>
      </c>
      <c r="E141" s="1644" t="str">
        <f>OBRA!P480</f>
        <v>SERVICIOS</v>
      </c>
      <c r="F141" s="1644"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48">
        <f>OBRA!AT480+OBRA!AU480</f>
        <v>0</v>
      </c>
      <c r="N141" s="1">
        <f>'ADMININSTRACIÓN DIR - OBRA'!AF482</f>
        <v>1</v>
      </c>
      <c r="O141" s="1" t="str">
        <f>'ADMININSTRACIÓN DIR - OBRA'!AG482</f>
        <v>LOTE</v>
      </c>
      <c r="P141" s="1"/>
      <c r="Q141" s="1"/>
    </row>
    <row r="142" spans="1:17" ht="60" hidden="1">
      <c r="A142" s="1"/>
      <c r="B142" s="1"/>
      <c r="C142" s="1" t="str">
        <f>OBRA!CE481</f>
        <v>2018-2021</v>
      </c>
      <c r="D142" s="1">
        <f>OBRA!K481</f>
        <v>2020</v>
      </c>
      <c r="E142" s="1644" t="str">
        <f>OBRA!P481</f>
        <v>SERVICIOS</v>
      </c>
      <c r="F142" s="1644"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48">
        <f>OBRA!AT481+OBRA!AU481</f>
        <v>0</v>
      </c>
      <c r="N142" s="1">
        <f>'ADMININSTRACIÓN DIR - OBRA'!AF483</f>
        <v>1</v>
      </c>
      <c r="O142" s="1" t="str">
        <f>'ADMININSTRACIÓN DIR - OBRA'!AG483</f>
        <v>LOTE</v>
      </c>
      <c r="P142" s="1"/>
      <c r="Q142" s="1"/>
    </row>
    <row r="143" spans="1:17" ht="60" hidden="1">
      <c r="A143" s="1"/>
      <c r="B143" s="1"/>
      <c r="C143" s="1" t="str">
        <f>OBRA!CE482</f>
        <v>2018-2021</v>
      </c>
      <c r="D143" s="1">
        <f>OBRA!K482</f>
        <v>2020</v>
      </c>
      <c r="E143" s="1644" t="str">
        <f>OBRA!P482</f>
        <v>SERVICIOS</v>
      </c>
      <c r="F143" s="1644"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48">
        <f>OBRA!AT482+OBRA!AU482</f>
        <v>0</v>
      </c>
      <c r="N143" s="1">
        <f>'ADMININSTRACIÓN DIR - OBRA'!AF484</f>
        <v>1</v>
      </c>
      <c r="O143" s="1" t="str">
        <f>'ADMININSTRACIÓN DIR - OBRA'!AG484</f>
        <v>LOTE</v>
      </c>
      <c r="P143" s="1"/>
      <c r="Q143" s="1"/>
    </row>
    <row r="144" spans="1:17" ht="22.5" hidden="1">
      <c r="A144" s="1"/>
      <c r="B144" s="1"/>
      <c r="C144" s="1" t="str">
        <f>OBRA!CE483</f>
        <v>2018-2021</v>
      </c>
      <c r="D144" s="1">
        <f>OBRA!K483</f>
        <v>2020</v>
      </c>
      <c r="E144" s="1644" t="str">
        <f>OBRA!P483</f>
        <v>CANCELADA</v>
      </c>
      <c r="F144" s="1644" t="str">
        <f>OBRA!O483</f>
        <v>C.P.S.P. DOP 029/2020</v>
      </c>
      <c r="G144" s="3" t="str">
        <f>OBRA!Q483</f>
        <v>CONTRATO CANCELADO</v>
      </c>
      <c r="H144" s="1"/>
      <c r="I144" s="3">
        <f>OBRA!R483</f>
        <v>0</v>
      </c>
      <c r="J144" s="3"/>
      <c r="K144" s="3"/>
      <c r="L144" s="3"/>
      <c r="M144" s="1648">
        <f>OBRA!AT483+OBRA!AU483</f>
        <v>0</v>
      </c>
      <c r="N144" s="1">
        <f>'ADMININSTRACIÓN DIR - OBRA'!AF485</f>
        <v>0</v>
      </c>
      <c r="O144" s="1">
        <f>'ADMININSTRACIÓN DIR - OBRA'!AG485</f>
        <v>0</v>
      </c>
      <c r="P144" s="1"/>
      <c r="Q144" s="1"/>
    </row>
    <row r="145" spans="1:17" ht="45" hidden="1">
      <c r="A145" s="1"/>
      <c r="B145" s="1"/>
      <c r="C145" s="1" t="str">
        <f>OBRA!CE484</f>
        <v>2018-2021</v>
      </c>
      <c r="D145" s="1">
        <f>OBRA!K484</f>
        <v>2020</v>
      </c>
      <c r="E145" s="1644" t="str">
        <f>OBRA!P484</f>
        <v>SERVICIOS</v>
      </c>
      <c r="F145" s="1644"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48">
        <f>OBRA!AT484+OBRA!AU484</f>
        <v>0</v>
      </c>
      <c r="N145" s="1">
        <f>'ADMININSTRACIÓN DIR - OBRA'!AF486</f>
        <v>0</v>
      </c>
      <c r="O145" s="1" t="str">
        <f>'ADMININSTRACIÓN DIR - OBRA'!AG486</f>
        <v>MES</v>
      </c>
      <c r="P145" s="1"/>
      <c r="Q145" s="1"/>
    </row>
    <row r="146" spans="1:17" ht="60" hidden="1">
      <c r="A146" s="1"/>
      <c r="B146" s="1"/>
      <c r="C146" s="1" t="str">
        <f>OBRA!CE485</f>
        <v>2018-2021</v>
      </c>
      <c r="D146" s="1">
        <f>OBRA!K485</f>
        <v>2020</v>
      </c>
      <c r="E146" s="1644" t="str">
        <f>OBRA!P485</f>
        <v>SERVICIOS</v>
      </c>
      <c r="F146" s="1644"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48">
        <f>OBRA!AT485+OBRA!AU485</f>
        <v>0</v>
      </c>
      <c r="N146" s="1">
        <f>'ADMININSTRACIÓN DIR - OBRA'!AF487</f>
        <v>0</v>
      </c>
      <c r="O146" s="1" t="str">
        <f>'ADMININSTRACIÓN DIR - OBRA'!AG487</f>
        <v>MES</v>
      </c>
      <c r="P146" s="1"/>
      <c r="Q146" s="1"/>
    </row>
    <row r="147" spans="1:17" ht="60" hidden="1">
      <c r="A147" s="1"/>
      <c r="B147" s="1"/>
      <c r="C147" s="1" t="str">
        <f>OBRA!CE486</f>
        <v>2018-2021</v>
      </c>
      <c r="D147" s="1">
        <f>OBRA!K486</f>
        <v>2020</v>
      </c>
      <c r="E147" s="1644" t="str">
        <f>OBRA!P486</f>
        <v>SERVICIOS</v>
      </c>
      <c r="F147" s="1644"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48">
        <f>OBRA!AT486+OBRA!AU486</f>
        <v>0</v>
      </c>
      <c r="N147" s="1">
        <f>'ADMININSTRACIÓN DIR - OBRA'!AF488</f>
        <v>0</v>
      </c>
      <c r="O147" s="1">
        <f>'ADMININSTRACIÓN DIR - OBRA'!AG488</f>
        <v>0</v>
      </c>
      <c r="P147" s="1"/>
      <c r="Q147" s="1"/>
    </row>
    <row r="148" spans="1:17" ht="45" hidden="1">
      <c r="A148" s="1"/>
      <c r="B148" s="1"/>
      <c r="C148" s="1" t="str">
        <f>OBRA!CE487</f>
        <v>2018-2021</v>
      </c>
      <c r="D148" s="1">
        <f>OBRA!K487</f>
        <v>2020</v>
      </c>
      <c r="E148" s="1644" t="str">
        <f>OBRA!P487</f>
        <v>SERVICIOS</v>
      </c>
      <c r="F148" s="1644"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48">
        <f>OBRA!AT487+OBRA!AU487</f>
        <v>0</v>
      </c>
      <c r="N148" s="1">
        <f>'ADMININSTRACIÓN DIR - OBRA'!AF489</f>
        <v>0</v>
      </c>
      <c r="O148" s="1" t="str">
        <f>'ADMININSTRACIÓN DIR - OBRA'!AG489</f>
        <v>HORA</v>
      </c>
      <c r="P148" s="1"/>
      <c r="Q148" s="1"/>
    </row>
    <row r="149" spans="1:17" ht="45">
      <c r="A149" s="1"/>
      <c r="B149" s="1646"/>
      <c r="C149" s="1" t="str">
        <f>OBRA!CE488</f>
        <v>2018-2021</v>
      </c>
      <c r="D149" s="1">
        <f>OBRA!K488</f>
        <v>2020</v>
      </c>
      <c r="E149" s="1644" t="str">
        <f>OBRA!P488</f>
        <v>ADJUDICACIÓN DIRECTA</v>
      </c>
      <c r="F149" s="1305" t="str">
        <f>OBRA!O488</f>
        <v>GMJ 001C- OP/2020</v>
      </c>
      <c r="G149" s="3" t="str">
        <f>OBRA!Q488</f>
        <v>CONSTRUCCIÓN DE LÍNEAS DE DRENAJE SANITARIO Y DRENAJE PLUVIAL EN LA CALLE RODRIGO DE TRIANA" EN LA CABECERA MUNICIPAL DE JOCOTEPEC, JALISCO".</v>
      </c>
      <c r="H149" s="1644" t="s">
        <v>4750</v>
      </c>
      <c r="I149" s="3" t="str">
        <f>OBRA!R488</f>
        <v>CABECERA MUNICIPAL</v>
      </c>
      <c r="J149" s="3" t="s">
        <v>4086</v>
      </c>
      <c r="K149" s="3" t="s">
        <v>4808</v>
      </c>
      <c r="L149" s="3" t="s">
        <v>4770</v>
      </c>
      <c r="M149" s="1648">
        <f>OBRA!AT488+OBRA!AU488</f>
        <v>156609.66</v>
      </c>
      <c r="N149" s="243">
        <f>'ADMININSTRACIÓN DIR - OBRA'!AF490</f>
        <v>78.099999999999994</v>
      </c>
      <c r="O149" s="243" t="str">
        <f>'ADMININSTRACIÓN DIR - OBRA'!AG490</f>
        <v>ML</v>
      </c>
      <c r="P149" s="1305" t="s">
        <v>4948</v>
      </c>
      <c r="Q149" s="2" t="s">
        <v>4949</v>
      </c>
    </row>
    <row r="150" spans="1:17" ht="60">
      <c r="A150" s="1"/>
      <c r="B150" s="1646"/>
      <c r="C150" s="1" t="str">
        <f>OBRA!CE489</f>
        <v>2018-2021</v>
      </c>
      <c r="D150" s="1">
        <f>OBRA!K489</f>
        <v>2020</v>
      </c>
      <c r="E150" s="1644"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44" t="s">
        <v>4755</v>
      </c>
      <c r="I150" s="3" t="str">
        <f>OBRA!R489</f>
        <v>CHANTEPEC</v>
      </c>
      <c r="J150" s="3" t="s">
        <v>4777</v>
      </c>
      <c r="K150" s="3" t="s">
        <v>67</v>
      </c>
      <c r="L150" s="3" t="s">
        <v>67</v>
      </c>
      <c r="M150" s="1648">
        <f>OBRA!AT489+OBRA!AU489</f>
        <v>685944.29</v>
      </c>
      <c r="N150" s="243">
        <f>'ADMININSTRACIÓN DIR - OBRA'!AF491</f>
        <v>992</v>
      </c>
      <c r="O150" s="243" t="str">
        <f>'ADMININSTRACIÓN DIR - OBRA'!AG491</f>
        <v>M2</v>
      </c>
      <c r="P150" s="1305" t="s">
        <v>4950</v>
      </c>
      <c r="Q150" s="2"/>
    </row>
    <row r="151" spans="1:17" ht="63" customHeight="1">
      <c r="A151" s="1"/>
      <c r="B151" s="1646"/>
      <c r="C151" s="1" t="str">
        <f>OBRA!CE490</f>
        <v>2018-2021</v>
      </c>
      <c r="D151" s="1">
        <f>OBRA!K490</f>
        <v>2020</v>
      </c>
      <c r="E151" s="1644"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44" t="s">
        <v>4755</v>
      </c>
      <c r="I151" s="3" t="str">
        <f>OBRA!R490</f>
        <v>NEXTIPAC</v>
      </c>
      <c r="J151" s="3" t="s">
        <v>3149</v>
      </c>
      <c r="K151" s="3" t="s">
        <v>4791</v>
      </c>
      <c r="L151" s="3" t="s">
        <v>4792</v>
      </c>
      <c r="M151" s="1648">
        <f>OBRA!AT490+OBRA!AU490</f>
        <v>255753.06</v>
      </c>
      <c r="N151" s="243">
        <f>'ADMININSTRACIÓN DIR - OBRA'!AF492</f>
        <v>317.99</v>
      </c>
      <c r="O151" s="243" t="str">
        <f>'ADMININSTRACIÓN DIR - OBRA'!AG492</f>
        <v>M2</v>
      </c>
      <c r="P151" s="1305" t="s">
        <v>4951</v>
      </c>
      <c r="Q151" s="2"/>
    </row>
    <row r="152" spans="1:17" ht="105" customHeight="1">
      <c r="A152" s="1"/>
      <c r="B152" s="1646"/>
      <c r="C152" s="1" t="str">
        <f>OBRA!CE491</f>
        <v>2018-2021</v>
      </c>
      <c r="D152" s="1">
        <f>OBRA!K491</f>
        <v>2020</v>
      </c>
      <c r="E152" s="1644"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44" t="s">
        <v>4755</v>
      </c>
      <c r="I152" s="3" t="str">
        <f>OBRA!R491</f>
        <v>CABECERA MUNICIPAL</v>
      </c>
      <c r="J152" s="3" t="s">
        <v>4831</v>
      </c>
      <c r="K152" s="3" t="s">
        <v>4803</v>
      </c>
      <c r="L152" s="674" t="s">
        <v>67</v>
      </c>
      <c r="M152" s="1648">
        <f>OBRA!AT491+OBRA!AU491</f>
        <v>966143.58</v>
      </c>
      <c r="N152" s="243">
        <f>'ADMININSTRACIÓN DIR - OBRA'!AF493</f>
        <v>1261.4000000000001</v>
      </c>
      <c r="O152" s="243" t="str">
        <f>'ADMININSTRACIÓN DIR - OBRA'!AG493</f>
        <v>M2</v>
      </c>
      <c r="P152" s="1305" t="s">
        <v>4952</v>
      </c>
      <c r="Q152" s="2"/>
    </row>
    <row r="153" spans="1:17" ht="68.25" customHeight="1">
      <c r="A153" s="1"/>
      <c r="B153" s="1646"/>
      <c r="C153" s="1" t="str">
        <f>OBRA!CE492</f>
        <v>2018-2021</v>
      </c>
      <c r="D153" s="1">
        <f>OBRA!K492</f>
        <v>2020</v>
      </c>
      <c r="E153" s="1644"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44" t="s">
        <v>4750</v>
      </c>
      <c r="I153" s="3" t="str">
        <f>OBRA!R492</f>
        <v>NEXTIPAC</v>
      </c>
      <c r="J153" s="3" t="s">
        <v>3149</v>
      </c>
      <c r="K153" s="3" t="s">
        <v>4791</v>
      </c>
      <c r="L153" s="3" t="s">
        <v>4792</v>
      </c>
      <c r="M153" s="1648">
        <f>OBRA!AT492+OBRA!AU492</f>
        <v>133293.67000000001</v>
      </c>
      <c r="N153" s="243">
        <f>'ADMININSTRACIÓN DIR - OBRA'!AF494</f>
        <v>74.2</v>
      </c>
      <c r="O153" s="243" t="str">
        <f>'ADMININSTRACIÓN DIR - OBRA'!AG494</f>
        <v>ML</v>
      </c>
      <c r="P153" s="2" t="s">
        <v>4953</v>
      </c>
      <c r="Q153" s="2"/>
    </row>
    <row r="154" spans="1:17" ht="120" customHeight="1">
      <c r="A154" s="1"/>
      <c r="B154" s="1646"/>
      <c r="C154" s="1" t="str">
        <f>OBRA!CE493</f>
        <v>2018-2021</v>
      </c>
      <c r="D154" s="1">
        <f>OBRA!K493</f>
        <v>2020</v>
      </c>
      <c r="E154" s="1644"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44" t="s">
        <v>4759</v>
      </c>
      <c r="I154" s="3" t="str">
        <f>OBRA!R493</f>
        <v>CABECERA MUNICIPAL</v>
      </c>
      <c r="J154" s="3" t="s">
        <v>4793</v>
      </c>
      <c r="K154" s="3" t="s">
        <v>4771</v>
      </c>
      <c r="L154" s="3" t="s">
        <v>4833</v>
      </c>
      <c r="M154" s="1648">
        <f>OBRA!AT493+OBRA!AU493</f>
        <v>961549.42</v>
      </c>
      <c r="N154" s="243">
        <f>'ADMININSTRACIÓN DIR - OBRA'!AF495</f>
        <v>878.94</v>
      </c>
      <c r="O154" s="243" t="str">
        <f>'ADMININSTRACIÓN DIR - OBRA'!AG495</f>
        <v>M2</v>
      </c>
      <c r="P154" s="593" t="s">
        <v>4955</v>
      </c>
      <c r="Q154" s="1305" t="s">
        <v>4954</v>
      </c>
    </row>
    <row r="155" spans="1:17" ht="111" customHeight="1">
      <c r="A155" s="1"/>
      <c r="B155" s="1646"/>
      <c r="C155" s="1" t="str">
        <f>OBRA!CE494</f>
        <v>2018-2021</v>
      </c>
      <c r="D155" s="1">
        <f>OBRA!K494</f>
        <v>2020</v>
      </c>
      <c r="E155" s="1644"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44" t="s">
        <v>4759</v>
      </c>
      <c r="I155" s="3" t="str">
        <f>OBRA!R494</f>
        <v>CABECERA MUNICIPAL</v>
      </c>
      <c r="J155" s="3" t="s">
        <v>4794</v>
      </c>
      <c r="K155" s="3" t="s">
        <v>4793</v>
      </c>
      <c r="L155" s="3" t="s">
        <v>4770</v>
      </c>
      <c r="M155" s="1648">
        <f>OBRA!AT494+OBRA!AU494</f>
        <v>340712.1</v>
      </c>
      <c r="N155" s="243">
        <f>'ADMININSTRACIÓN DIR - OBRA'!AF496</f>
        <v>227.5</v>
      </c>
      <c r="O155" s="243" t="str">
        <f>'ADMININSTRACIÓN DIR - OBRA'!AG496</f>
        <v>M2</v>
      </c>
      <c r="P155" s="593" t="s">
        <v>4956</v>
      </c>
      <c r="Q155" s="1305" t="s">
        <v>4957</v>
      </c>
    </row>
    <row r="156" spans="1:17" ht="60">
      <c r="A156" s="1"/>
      <c r="B156" s="1646"/>
      <c r="C156" s="1" t="str">
        <f>OBRA!CE495</f>
        <v>2018-2021</v>
      </c>
      <c r="D156" s="1">
        <f>OBRA!K495</f>
        <v>2020</v>
      </c>
      <c r="E156" s="1644"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44" t="s">
        <v>4755</v>
      </c>
      <c r="I156" s="3" t="str">
        <f>OBRA!R495</f>
        <v>CHANTEPEC</v>
      </c>
      <c r="J156" s="3" t="s">
        <v>4795</v>
      </c>
      <c r="K156" s="3" t="s">
        <v>4700</v>
      </c>
      <c r="L156" s="3" t="s">
        <v>2569</v>
      </c>
      <c r="M156" s="1648">
        <f>OBRA!AT495+OBRA!AU495</f>
        <v>665921</v>
      </c>
      <c r="N156" s="243">
        <f>'ADMININSTRACIÓN DIR - OBRA'!AF497</f>
        <v>851.72</v>
      </c>
      <c r="O156" s="243" t="str">
        <f>'ADMININSTRACIÓN DIR - OBRA'!AG497</f>
        <v>M2</v>
      </c>
      <c r="P156" s="2" t="s">
        <v>4905</v>
      </c>
      <c r="Q156" s="2"/>
    </row>
    <row r="157" spans="1:17" ht="68.25" customHeight="1">
      <c r="A157" s="1"/>
      <c r="B157" s="1646"/>
      <c r="C157" s="1" t="str">
        <f>OBRA!CE496</f>
        <v>2018-2021</v>
      </c>
      <c r="D157" s="1">
        <f>OBRA!K496</f>
        <v>2020</v>
      </c>
      <c r="E157" s="1644"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44" t="s">
        <v>4755</v>
      </c>
      <c r="I157" s="3" t="str">
        <f>OBRA!R496</f>
        <v>CABECERA MUNICIPAL</v>
      </c>
      <c r="J157" s="3" t="s">
        <v>4663</v>
      </c>
      <c r="K157" s="3" t="s">
        <v>4645</v>
      </c>
      <c r="L157" s="3" t="s">
        <v>4796</v>
      </c>
      <c r="M157" s="1648">
        <f>OBRA!AT496+OBRA!AU496</f>
        <v>316487.46000000002</v>
      </c>
      <c r="N157" s="243">
        <f>'ADMININSTRACIÓN DIR - OBRA'!AF498</f>
        <v>488.63</v>
      </c>
      <c r="O157" s="243" t="str">
        <f>'ADMININSTRACIÓN DIR - OBRA'!AG498</f>
        <v>M2</v>
      </c>
      <c r="P157" s="2" t="s">
        <v>67</v>
      </c>
      <c r="Q157" s="2"/>
    </row>
    <row r="158" spans="1:17" ht="65.25" customHeight="1">
      <c r="A158" s="1"/>
      <c r="B158" s="1646"/>
      <c r="C158" s="1" t="str">
        <f>OBRA!CE497</f>
        <v>2018-2021</v>
      </c>
      <c r="D158" s="1">
        <f>OBRA!K497</f>
        <v>2020</v>
      </c>
      <c r="E158" s="1644"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44" t="s">
        <v>4755</v>
      </c>
      <c r="I158" s="3" t="str">
        <f>OBRA!R497</f>
        <v>CHANTEPEC</v>
      </c>
      <c r="J158" s="3" t="s">
        <v>4777</v>
      </c>
      <c r="K158" s="674" t="s">
        <v>67</v>
      </c>
      <c r="L158" s="674" t="s">
        <v>67</v>
      </c>
      <c r="M158" s="1648">
        <f>OBRA!AT497+OBRA!AU497</f>
        <v>233601.31</v>
      </c>
      <c r="N158" s="243">
        <f>'ADMININSTRACIÓN DIR - OBRA'!AF499</f>
        <v>322.39999999999998</v>
      </c>
      <c r="O158" s="243" t="str">
        <f>'ADMININSTRACIÓN DIR - OBRA'!AG499</f>
        <v>M2</v>
      </c>
      <c r="P158" s="2" t="s">
        <v>67</v>
      </c>
      <c r="Q158" s="2"/>
    </row>
    <row r="159" spans="1:17" ht="64.5" customHeight="1">
      <c r="A159" s="1"/>
      <c r="B159" s="1646"/>
      <c r="C159" s="1" t="str">
        <f>OBRA!CE498</f>
        <v>2018-2021</v>
      </c>
      <c r="D159" s="1">
        <f>OBRA!K498</f>
        <v>2020</v>
      </c>
      <c r="E159" s="1644"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44" t="s">
        <v>4755</v>
      </c>
      <c r="I159" s="3" t="str">
        <f>OBRA!R498</f>
        <v>CHANTEPEC</v>
      </c>
      <c r="J159" s="3" t="s">
        <v>4777</v>
      </c>
      <c r="K159" s="674" t="s">
        <v>67</v>
      </c>
      <c r="L159" s="674" t="s">
        <v>67</v>
      </c>
      <c r="M159" s="1648">
        <f>OBRA!AT498+OBRA!AU498</f>
        <v>401181.07</v>
      </c>
      <c r="N159" s="243">
        <f>'ADMININSTRACIÓN DIR - OBRA'!AF500</f>
        <v>558</v>
      </c>
      <c r="O159" s="243" t="str">
        <f>'ADMININSTRACIÓN DIR - OBRA'!AG500</f>
        <v>M2</v>
      </c>
      <c r="P159" s="2" t="s">
        <v>67</v>
      </c>
      <c r="Q159" s="2"/>
    </row>
    <row r="160" spans="1:17" ht="84">
      <c r="A160" s="1"/>
      <c r="B160" s="1646"/>
      <c r="C160" s="1" t="str">
        <f>OBRA!CE499</f>
        <v>2018-2021</v>
      </c>
      <c r="D160" s="1">
        <f>OBRA!K499</f>
        <v>2020</v>
      </c>
      <c r="E160" s="1644"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44" t="s">
        <v>4759</v>
      </c>
      <c r="I160" s="3" t="str">
        <f>OBRA!R499</f>
        <v>CABECERA MUNICIPAL</v>
      </c>
      <c r="J160" s="3" t="s">
        <v>4829</v>
      </c>
      <c r="K160" s="3" t="s">
        <v>4783</v>
      </c>
      <c r="L160" s="3" t="s">
        <v>4770</v>
      </c>
      <c r="M160" s="1648">
        <f>OBRA!AT499+OBRA!AU499</f>
        <v>1281375.1299999999</v>
      </c>
      <c r="N160" s="243">
        <f>'ADMININSTRACIÓN DIR - OBRA'!AF501</f>
        <v>1240</v>
      </c>
      <c r="O160" s="243" t="str">
        <f>'ADMININSTRACIÓN DIR - OBRA'!AG501</f>
        <v>M2</v>
      </c>
      <c r="P160" s="593" t="s">
        <v>4958</v>
      </c>
      <c r="Q160" s="1305" t="s">
        <v>4959</v>
      </c>
    </row>
    <row r="161" spans="1:17" ht="118.5" customHeight="1">
      <c r="A161" s="1"/>
      <c r="B161" s="1646"/>
      <c r="C161" s="1" t="str">
        <f>OBRA!CE500</f>
        <v>2018-2021</v>
      </c>
      <c r="D161" s="1">
        <f>OBRA!K500</f>
        <v>2020</v>
      </c>
      <c r="E161" s="1644"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44" t="s">
        <v>4759</v>
      </c>
      <c r="I161" s="3" t="str">
        <f>OBRA!R500</f>
        <v>CABECERA MUNICIPAL</v>
      </c>
      <c r="J161" s="3" t="s">
        <v>4781</v>
      </c>
      <c r="K161" s="3" t="s">
        <v>2545</v>
      </c>
      <c r="L161" s="3" t="s">
        <v>4770</v>
      </c>
      <c r="M161" s="1648">
        <f>OBRA!AT500+OBRA!AU500</f>
        <v>320004.51</v>
      </c>
      <c r="N161" s="243">
        <f>'ADMININSTRACIÓN DIR - OBRA'!AF502</f>
        <v>235.2</v>
      </c>
      <c r="O161" s="243" t="str">
        <f>'ADMININSTRACIÓN DIR - OBRA'!AG502</f>
        <v>M2</v>
      </c>
      <c r="P161" s="593" t="s">
        <v>4960</v>
      </c>
      <c r="Q161" s="1305" t="s">
        <v>4961</v>
      </c>
    </row>
    <row r="162" spans="1:17" ht="121.5" customHeight="1">
      <c r="A162" s="1"/>
      <c r="B162" s="1646"/>
      <c r="C162" s="1" t="str">
        <f>OBRA!CE501</f>
        <v>2018-2021</v>
      </c>
      <c r="D162" s="1">
        <f>OBRA!K501</f>
        <v>2020</v>
      </c>
      <c r="E162" s="1644"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44" t="s">
        <v>4756</v>
      </c>
      <c r="I162" s="3" t="str">
        <f>OBRA!R501</f>
        <v>CABECERA MUNICIPAL</v>
      </c>
      <c r="J162" s="3" t="s">
        <v>4796</v>
      </c>
      <c r="K162" s="3" t="s">
        <v>4663</v>
      </c>
      <c r="L162" s="3" t="s">
        <v>4772</v>
      </c>
      <c r="M162" s="1648">
        <f>OBRA!AT501+OBRA!AU501</f>
        <v>230567.7</v>
      </c>
      <c r="N162" s="243">
        <f>'ADMININSTRACIÓN DIR - OBRA'!AF503</f>
        <v>142.23000000000002</v>
      </c>
      <c r="O162" s="243" t="str">
        <f>'ADMININSTRACIÓN DIR - OBRA'!AG503</f>
        <v>ML</v>
      </c>
      <c r="P162" s="593" t="s">
        <v>4963</v>
      </c>
      <c r="Q162" s="1305" t="s">
        <v>4962</v>
      </c>
    </row>
    <row r="163" spans="1:17" ht="60">
      <c r="A163" s="1"/>
      <c r="B163" s="1646"/>
      <c r="C163" s="1" t="str">
        <f>OBRA!CE502</f>
        <v>2018-2021</v>
      </c>
      <c r="D163" s="1">
        <f>OBRA!K502</f>
        <v>2020</v>
      </c>
      <c r="E163" s="1644"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44" t="s">
        <v>4756</v>
      </c>
      <c r="I163" s="3" t="str">
        <f>OBRA!R502</f>
        <v>CABECERA MUNICIPAL</v>
      </c>
      <c r="J163" s="3" t="s">
        <v>4796</v>
      </c>
      <c r="K163" s="3" t="s">
        <v>4772</v>
      </c>
      <c r="L163" s="3" t="s">
        <v>4812</v>
      </c>
      <c r="M163" s="1648">
        <f>OBRA!AT502+OBRA!AU502</f>
        <v>251704.57</v>
      </c>
      <c r="N163" s="243">
        <f>'ADMININSTRACIÓN DIR - OBRA'!AF504</f>
        <v>142.18</v>
      </c>
      <c r="O163" s="243" t="str">
        <f>'ADMININSTRACIÓN DIR - OBRA'!AG504</f>
        <v>ML</v>
      </c>
      <c r="P163" s="593" t="s">
        <v>4963</v>
      </c>
      <c r="Q163" s="1305" t="s">
        <v>4964</v>
      </c>
    </row>
    <row r="164" spans="1:17" ht="60">
      <c r="A164" s="1"/>
      <c r="B164" s="1646"/>
      <c r="C164" s="1" t="str">
        <f>OBRA!CE503</f>
        <v>2018-2021</v>
      </c>
      <c r="D164" s="1">
        <f>OBRA!K503</f>
        <v>2020</v>
      </c>
      <c r="E164" s="1644"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44" t="s">
        <v>4755</v>
      </c>
      <c r="I164" s="3" t="str">
        <f>OBRA!R503</f>
        <v>EL MOLINO</v>
      </c>
      <c r="J164" s="3" t="s">
        <v>4707</v>
      </c>
      <c r="K164" s="3" t="s">
        <v>4797</v>
      </c>
      <c r="L164" s="3" t="s">
        <v>4645</v>
      </c>
      <c r="M164" s="1648">
        <f>OBRA!AT503+OBRA!AU503</f>
        <v>301450.13</v>
      </c>
      <c r="N164" s="243">
        <f>'ADMININSTRACIÓN DIR - OBRA'!AF505</f>
        <v>660</v>
      </c>
      <c r="O164" s="243" t="str">
        <f>'ADMININSTRACIÓN DIR - OBRA'!AG505</f>
        <v>M2</v>
      </c>
      <c r="P164" s="2" t="s">
        <v>67</v>
      </c>
      <c r="Q164" s="2"/>
    </row>
    <row r="165" spans="1:17" ht="60">
      <c r="A165" s="1"/>
      <c r="B165" s="1646"/>
      <c r="C165" s="1" t="str">
        <f>OBRA!CE504</f>
        <v>2018-2021</v>
      </c>
      <c r="D165" s="1">
        <f>OBRA!K504</f>
        <v>2020</v>
      </c>
      <c r="E165" s="1644"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44" t="s">
        <v>4755</v>
      </c>
      <c r="I165" s="3" t="str">
        <f>OBRA!R504</f>
        <v>EL MOLINO</v>
      </c>
      <c r="J165" s="3" t="s">
        <v>4651</v>
      </c>
      <c r="K165" s="3" t="s">
        <v>4707</v>
      </c>
      <c r="L165" s="3" t="s">
        <v>4797</v>
      </c>
      <c r="M165" s="1648">
        <f>OBRA!AT504+OBRA!AU504</f>
        <v>423219.71</v>
      </c>
      <c r="N165" s="243">
        <f>'ADMININSTRACIÓN DIR - OBRA'!AF506</f>
        <v>927.6</v>
      </c>
      <c r="O165" s="243" t="str">
        <f>'ADMININSTRACIÓN DIR - OBRA'!AG506</f>
        <v>M2</v>
      </c>
      <c r="P165" s="2" t="s">
        <v>67</v>
      </c>
      <c r="Q165" s="2"/>
    </row>
    <row r="166" spans="1:17" ht="45">
      <c r="A166" s="1"/>
      <c r="B166" s="1646"/>
      <c r="C166" s="1" t="str">
        <f>OBRA!CE505</f>
        <v>2018-2021</v>
      </c>
      <c r="D166" s="1">
        <f>OBRA!K505</f>
        <v>2020</v>
      </c>
      <c r="E166" s="1644" t="str">
        <f>OBRA!P505</f>
        <v>ADJUDICACIÓN DIRECTA</v>
      </c>
      <c r="F166" s="1305" t="str">
        <f>OBRA!O505</f>
        <v>GMJ 018C- OP/2020</v>
      </c>
      <c r="G166" s="3" t="str">
        <f>OBRA!Q505</f>
        <v>"EQUIPAMIENTO DE POZO PROFUNDO DE AGUA POTABLE" EN LA AGENCIA MINICIPAL DE CHANTEPEC, DEL MUNICIPIO DE JOCOTEPEC, JALISCO.</v>
      </c>
      <c r="H166" s="1644" t="s">
        <v>4754</v>
      </c>
      <c r="I166" s="3" t="str">
        <f>OBRA!R505</f>
        <v>CHANTEPEC</v>
      </c>
      <c r="J166" s="3" t="s">
        <v>4023</v>
      </c>
      <c r="K166" s="3" t="s">
        <v>4769</v>
      </c>
      <c r="L166" s="3" t="s">
        <v>4700</v>
      </c>
      <c r="M166" s="1648">
        <f>OBRA!AT505+OBRA!AU505</f>
        <v>174784.71</v>
      </c>
      <c r="N166" s="243">
        <f>'ADMININSTRACIÓN DIR - OBRA'!AF507</f>
        <v>1</v>
      </c>
      <c r="O166" s="243" t="str">
        <f>'ADMININSTRACIÓN DIR - OBRA'!AG507</f>
        <v>POZO</v>
      </c>
      <c r="P166" s="2" t="s">
        <v>67</v>
      </c>
      <c r="Q166" s="2"/>
    </row>
    <row r="167" spans="1:17" ht="52.5" customHeight="1">
      <c r="A167" s="1"/>
      <c r="B167" s="1646"/>
      <c r="C167" s="1" t="str">
        <f>OBRA!CE506</f>
        <v>2018-2021</v>
      </c>
      <c r="D167" s="1">
        <f>OBRA!K506</f>
        <v>2020</v>
      </c>
      <c r="E167" s="1644" t="str">
        <f>OBRA!P506</f>
        <v>ADJUDICACIÓN DIRECTA</v>
      </c>
      <c r="F167" s="1305" t="str">
        <f>OBRA!O506</f>
        <v>GMJ 019C- OP/2020</v>
      </c>
      <c r="G167" s="3" t="str">
        <f>OBRA!Q506</f>
        <v>"REHABILITACIÓN DE POZO PROFUNDO DE AGUA POTABLE EN LA AGENCIA DE NEXTIPAC", DEL MUNICIPIO DE JOCOTEPEC, JALISCO.</v>
      </c>
      <c r="H167" s="1644" t="s">
        <v>4754</v>
      </c>
      <c r="I167" s="3" t="str">
        <f>OBRA!R506</f>
        <v>NEXTIPAC</v>
      </c>
      <c r="J167" s="3" t="s">
        <v>2491</v>
      </c>
      <c r="K167" s="3" t="s">
        <v>4808</v>
      </c>
      <c r="L167" s="3" t="s">
        <v>67</v>
      </c>
      <c r="M167" s="1679">
        <f>OBRA!S506</f>
        <v>165908.29999999999</v>
      </c>
      <c r="N167" s="243">
        <f>'ADMININSTRACIÓN DIR - OBRA'!AF508</f>
        <v>250</v>
      </c>
      <c r="O167" s="243" t="str">
        <f>'ADMININSTRACIÓN DIR - OBRA'!AG508</f>
        <v>ML</v>
      </c>
      <c r="P167" s="2" t="s">
        <v>67</v>
      </c>
      <c r="Q167" s="2"/>
    </row>
    <row r="168" spans="1:17" ht="22.5" hidden="1">
      <c r="A168" s="1"/>
      <c r="B168" s="1"/>
      <c r="C168" s="1" t="str">
        <f>OBRA!CE507</f>
        <v>2018-2021</v>
      </c>
      <c r="D168" s="1">
        <f>OBRA!K507</f>
        <v>2020</v>
      </c>
      <c r="E168" s="1644" t="str">
        <f>OBRA!P507</f>
        <v>CANCELADA</v>
      </c>
      <c r="F168" s="1644" t="str">
        <f>OBRA!O507</f>
        <v>GMJ 020C- OP/2020</v>
      </c>
      <c r="G168" s="3" t="str">
        <f>OBRA!Q507</f>
        <v>CONTRATO CANCELADO</v>
      </c>
      <c r="H168" s="1"/>
      <c r="I168" s="3">
        <f>OBRA!R507</f>
        <v>0</v>
      </c>
      <c r="J168" s="3"/>
      <c r="K168" s="3"/>
      <c r="L168" s="3"/>
      <c r="M168" s="1648">
        <f>OBRA!AT507+OBRA!AU507</f>
        <v>0</v>
      </c>
      <c r="N168" s="1">
        <f>'ADMININSTRACIÓN DIR - OBRA'!AF509</f>
        <v>0</v>
      </c>
      <c r="O168" s="1">
        <f>'ADMININSTRACIÓN DIR - OBRA'!AG509</f>
        <v>0</v>
      </c>
      <c r="P168" s="1"/>
      <c r="Q168" s="1"/>
    </row>
    <row r="169" spans="1:17" ht="75">
      <c r="A169" s="1"/>
      <c r="B169" s="1646"/>
      <c r="C169" s="1" t="str">
        <f>OBRA!CE508</f>
        <v>2018-2021</v>
      </c>
      <c r="D169" s="1">
        <f>OBRA!K508</f>
        <v>2020</v>
      </c>
      <c r="E169" s="1644"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44" t="s">
        <v>4755</v>
      </c>
      <c r="I169" s="3" t="str">
        <f>OBRA!R508</f>
        <v>ZAPOTITÁN DE HIDALGO</v>
      </c>
      <c r="J169" s="3" t="s">
        <v>2609</v>
      </c>
      <c r="K169" s="3" t="s">
        <v>3158</v>
      </c>
      <c r="L169" s="3" t="s">
        <v>4770</v>
      </c>
      <c r="M169" s="1648">
        <f>OBRA!AT508+OBRA!AU508</f>
        <v>773314.41</v>
      </c>
      <c r="N169" s="243">
        <f>'ADMININSTRACIÓN DIR - OBRA'!AF510</f>
        <v>1022.62</v>
      </c>
      <c r="O169" s="243" t="str">
        <f>'ADMININSTRACIÓN DIR - OBRA'!AG510</f>
        <v>M2</v>
      </c>
      <c r="P169" s="2" t="s">
        <v>4965</v>
      </c>
      <c r="Q169" s="2"/>
    </row>
    <row r="170" spans="1:17" ht="109.5" customHeight="1">
      <c r="A170" s="1"/>
      <c r="B170" s="1646"/>
      <c r="C170" s="1" t="str">
        <f>OBRA!CE509</f>
        <v>2018-2021</v>
      </c>
      <c r="D170" s="1">
        <f>OBRA!K509</f>
        <v>2020</v>
      </c>
      <c r="E170" s="1644"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44" t="s">
        <v>4759</v>
      </c>
      <c r="I170" s="3" t="str">
        <f>OBRA!R509</f>
        <v>ZAPOTITÁN DE HIDALGO</v>
      </c>
      <c r="J170" s="3" t="s">
        <v>3158</v>
      </c>
      <c r="K170" s="3" t="s">
        <v>2609</v>
      </c>
      <c r="L170" s="3" t="s">
        <v>3423</v>
      </c>
      <c r="M170" s="1648">
        <f>OBRA!AT509+OBRA!AU509</f>
        <v>947197.91</v>
      </c>
      <c r="N170" s="243">
        <f>'ADMININSTRACIÓN DIR - OBRA'!AF511</f>
        <v>682.64</v>
      </c>
      <c r="O170" s="243" t="str">
        <f>'ADMININSTRACIÓN DIR - OBRA'!AG511</f>
        <v>M2</v>
      </c>
      <c r="P170" s="593" t="s">
        <v>4958</v>
      </c>
      <c r="Q170" s="1305" t="s">
        <v>4966</v>
      </c>
    </row>
    <row r="171" spans="1:17" ht="45">
      <c r="A171" s="1"/>
      <c r="B171" s="1646"/>
      <c r="C171" s="1" t="str">
        <f>OBRA!CE510</f>
        <v>2018-2021</v>
      </c>
      <c r="D171" s="1">
        <f>OBRA!K510</f>
        <v>2020</v>
      </c>
      <c r="E171" s="1644" t="str">
        <f>OBRA!P510</f>
        <v>ADJUDICACIÓN DIRECTA</v>
      </c>
      <c r="F171" s="1305" t="str">
        <f>OBRA!O510</f>
        <v>GMJ 023C- OP/2020</v>
      </c>
      <c r="G171" s="3" t="str">
        <f>OBRA!Q510</f>
        <v xml:space="preserve">"REHABILITACIÓN DE POZO PROFUNDO DE AGUA POTABLE EN CALLE JOSE SANTANA", EN LA CABECERA MUNICIPAL DE JOCOTEPEC, JALISCO </v>
      </c>
      <c r="H171" s="1644" t="s">
        <v>4754</v>
      </c>
      <c r="I171" s="3" t="str">
        <f>OBRA!R510</f>
        <v>CABECERA MUNICIPAL</v>
      </c>
      <c r="J171" s="3" t="s">
        <v>4798</v>
      </c>
      <c r="K171" s="3" t="s">
        <v>4904</v>
      </c>
      <c r="L171" s="3" t="s">
        <v>2538</v>
      </c>
      <c r="M171" s="1648">
        <f>OBRA!AT510+OBRA!AU510</f>
        <v>189588.55</v>
      </c>
      <c r="N171" s="243">
        <f>'ADMININSTRACIÓN DIR - OBRA'!AF512</f>
        <v>1</v>
      </c>
      <c r="O171" s="243" t="str">
        <f>'ADMININSTRACIÓN DIR - OBRA'!AG512</f>
        <v>POZO</v>
      </c>
      <c r="P171" s="2" t="s">
        <v>67</v>
      </c>
      <c r="Q171" s="2"/>
    </row>
    <row r="172" spans="1:17" ht="99.75" customHeight="1">
      <c r="A172" s="1"/>
      <c r="B172" s="1646"/>
      <c r="C172" s="1" t="str">
        <f>OBRA!CE511</f>
        <v>2018-2021</v>
      </c>
      <c r="D172" s="1">
        <f>OBRA!K511</f>
        <v>2020</v>
      </c>
      <c r="E172" s="1644"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44" t="s">
        <v>4758</v>
      </c>
      <c r="I172" s="3" t="str">
        <f>OBRA!R511</f>
        <v>CHANTEPEC</v>
      </c>
      <c r="J172" s="3" t="s">
        <v>4799</v>
      </c>
      <c r="K172" s="3" t="s">
        <v>4777</v>
      </c>
      <c r="L172" s="3" t="s">
        <v>4769</v>
      </c>
      <c r="M172" s="1648">
        <f>OBRA!AT511+OBRA!AU511</f>
        <v>961943.47</v>
      </c>
      <c r="N172" s="243">
        <f>'ADMININSTRACIÓN DIR - OBRA'!AF513</f>
        <v>210</v>
      </c>
      <c r="O172" s="243" t="str">
        <f>'ADMININSTRACIÓN DIR - OBRA'!AG513</f>
        <v>ML</v>
      </c>
      <c r="P172" s="593" t="s">
        <v>4968</v>
      </c>
      <c r="Q172" s="1305" t="s">
        <v>4967</v>
      </c>
    </row>
    <row r="173" spans="1:17" ht="127.5" customHeight="1">
      <c r="A173" s="1"/>
      <c r="B173" s="1646"/>
      <c r="C173" s="1" t="str">
        <f>OBRA!CE512</f>
        <v>2018-2021</v>
      </c>
      <c r="D173" s="1">
        <f>OBRA!K512</f>
        <v>2020</v>
      </c>
      <c r="E173" s="1644"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44" t="s">
        <v>4757</v>
      </c>
      <c r="I173" s="3" t="str">
        <f>OBRA!R512</f>
        <v>CHANTEPEC</v>
      </c>
      <c r="J173" s="3" t="s">
        <v>4799</v>
      </c>
      <c r="K173" s="3" t="s">
        <v>4777</v>
      </c>
      <c r="L173" s="3" t="s">
        <v>4770</v>
      </c>
      <c r="M173" s="1648">
        <f>OBRA!AT512+OBRA!AU512</f>
        <v>976127.66</v>
      </c>
      <c r="N173" s="243">
        <f>'ADMININSTRACIÓN DIR - OBRA'!AF514</f>
        <v>218</v>
      </c>
      <c r="O173" s="243" t="str">
        <f>'ADMININSTRACIÓN DIR - OBRA'!AG514</f>
        <v>ML</v>
      </c>
      <c r="P173" s="593" t="s">
        <v>4969</v>
      </c>
      <c r="Q173" s="1305" t="s">
        <v>4970</v>
      </c>
    </row>
    <row r="174" spans="1:17" ht="110.25" customHeight="1">
      <c r="A174" s="1"/>
      <c r="B174" s="1646"/>
      <c r="C174" s="1" t="str">
        <f>OBRA!CE513</f>
        <v>2018-2021</v>
      </c>
      <c r="D174" s="1">
        <f>OBRA!K513</f>
        <v>2020</v>
      </c>
      <c r="E174" s="1644"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44" t="s">
        <v>4755</v>
      </c>
      <c r="I174" s="3" t="str">
        <f>OBRA!R513</f>
        <v>CHANTEPEC</v>
      </c>
      <c r="J174" s="3" t="s">
        <v>4799</v>
      </c>
      <c r="K174" s="3" t="s">
        <v>4769</v>
      </c>
      <c r="L174" s="3" t="s">
        <v>4777</v>
      </c>
      <c r="M174" s="1648">
        <f>OBRA!AT513+OBRA!AU513</f>
        <v>822451.21</v>
      </c>
      <c r="N174" s="243">
        <f>'ADMININSTRACIÓN DIR - OBRA'!AF515</f>
        <v>524.09</v>
      </c>
      <c r="O174" s="243" t="str">
        <f>'ADMININSTRACIÓN DIR - OBRA'!AG515</f>
        <v>M2</v>
      </c>
      <c r="P174" s="2" t="s">
        <v>4971</v>
      </c>
      <c r="Q174" s="1305" t="s">
        <v>4972</v>
      </c>
    </row>
    <row r="175" spans="1:17" ht="49.5" customHeight="1">
      <c r="A175" s="1"/>
      <c r="B175" s="1646"/>
      <c r="C175" s="1" t="str">
        <f>OBRA!CE514</f>
        <v>2018-2021</v>
      </c>
      <c r="D175" s="1">
        <f>OBRA!K514</f>
        <v>2020</v>
      </c>
      <c r="E175" s="1644" t="str">
        <f>OBRA!P514</f>
        <v>CONCURSO SIMPLIFICADO SUMARIO</v>
      </c>
      <c r="F175" s="1305" t="str">
        <f>OBRA!O514</f>
        <v>GMJ 027C- OP/2020</v>
      </c>
      <c r="G175" s="3" t="str">
        <f>OBRA!Q514</f>
        <v>"CONSTRUCCIÓN DE POZO PROFUNDO EN CALLE ALLENDE NORTE" EN LA CABECERA MUNICIPAL DE JOCOTEPEC, JALISCO</v>
      </c>
      <c r="H175" s="1644" t="s">
        <v>4754</v>
      </c>
      <c r="I175" s="3" t="str">
        <f>OBRA!R514</f>
        <v>CABECERA MUNICIPAL</v>
      </c>
      <c r="J175" s="3" t="s">
        <v>4645</v>
      </c>
      <c r="K175" s="3" t="s">
        <v>4772</v>
      </c>
      <c r="L175" s="3" t="s">
        <v>4812</v>
      </c>
      <c r="M175" s="1648">
        <f>OBRA!AT514+OBRA!AU514</f>
        <v>2631734.15</v>
      </c>
      <c r="N175" s="243">
        <f>'ADMININSTRACIÓN DIR - OBRA'!AF516</f>
        <v>250</v>
      </c>
      <c r="O175" s="243" t="str">
        <f>'ADMININSTRACIÓN DIR - OBRA'!AG516</f>
        <v>ML</v>
      </c>
      <c r="P175" s="2" t="s">
        <v>67</v>
      </c>
      <c r="Q175" s="2"/>
    </row>
    <row r="176" spans="1:17" ht="33.75">
      <c r="A176" s="1"/>
      <c r="B176" s="1646"/>
      <c r="C176" s="1" t="str">
        <f>OBRA!CE515</f>
        <v>2018-2021</v>
      </c>
      <c r="D176" s="1">
        <f>OBRA!K515</f>
        <v>2020</v>
      </c>
      <c r="E176" s="1644" t="str">
        <f>OBRA!P515</f>
        <v>CONCURSO SIMPLIFICADO SUMARIO</v>
      </c>
      <c r="F176" s="1305" t="str">
        <f>OBRA!O515</f>
        <v>FOCOCI-OP-CSS-028/2020</v>
      </c>
      <c r="G176" s="3" t="str">
        <f>OBRA!Q515</f>
        <v>CONSTRUCCIÓN Y EQUIPAMIENTO DE PLAZA PRINCIPAL EN CHANTEPEC, MUNICIPIO DE JOCOTEPEC, JALISCO.</v>
      </c>
      <c r="H176" s="1644" t="s">
        <v>4752</v>
      </c>
      <c r="I176" s="3" t="str">
        <f>OBRA!R515</f>
        <v>CHANTEPEC</v>
      </c>
      <c r="J176" s="3" t="s">
        <v>4799</v>
      </c>
      <c r="K176" s="3" t="s">
        <v>4777</v>
      </c>
      <c r="L176" s="3" t="s">
        <v>4769</v>
      </c>
      <c r="M176" s="1648">
        <f>OBRA!AT515+OBRA!AU515</f>
        <v>8270576.8799999999</v>
      </c>
      <c r="N176" s="243">
        <f>'ADMININSTRACIÓN DIR - OBRA'!AF517</f>
        <v>8536.41</v>
      </c>
      <c r="O176" s="243" t="str">
        <f>'ADMININSTRACIÓN DIR - OBRA'!AG517</f>
        <v>M2</v>
      </c>
      <c r="P176" s="2" t="s">
        <v>67</v>
      </c>
      <c r="Q176" s="2"/>
    </row>
    <row r="177" spans="1:17" ht="45">
      <c r="A177" s="1"/>
      <c r="B177" s="1646"/>
      <c r="C177" s="1" t="str">
        <f>OBRA!CE516</f>
        <v>2018-2021</v>
      </c>
      <c r="D177" s="1">
        <f>OBRA!K516</f>
        <v>2020</v>
      </c>
      <c r="E177" s="1644" t="str">
        <f>OBRA!P516</f>
        <v>CONCURSO SIMPLIFICADO SUMARIO</v>
      </c>
      <c r="F177" s="1305" t="str">
        <f>OBRA!O516</f>
        <v>FOCOCI-OP-CSS-029/2020</v>
      </c>
      <c r="G177" s="3" t="str">
        <f>OBRA!Q516</f>
        <v>CONSTRUCCIÓN Y EQUIPAMIENTO DE PLAZA PRINCIPAL EN CHANTEPEC MUNICIPIO DE JOCOTEPEC, JALISCO". (CONSTRUCCIÓN DE EDIFICIO ADMINISTRATIVO)</v>
      </c>
      <c r="H177" s="1644" t="s">
        <v>4761</v>
      </c>
      <c r="I177" s="3" t="str">
        <f>OBRA!R516</f>
        <v>CHANTEPEC</v>
      </c>
      <c r="J177" s="3" t="s">
        <v>4799</v>
      </c>
      <c r="K177" s="3" t="s">
        <v>4777</v>
      </c>
      <c r="L177" s="3" t="s">
        <v>4769</v>
      </c>
      <c r="M177" s="1648">
        <f>OBRA!AT516+OBRA!AU516</f>
        <v>1729413.01</v>
      </c>
      <c r="N177" s="243">
        <f>'ADMININSTRACIÓN DIR - OBRA'!AF518</f>
        <v>185.76</v>
      </c>
      <c r="O177" s="243" t="str">
        <f>'ADMININSTRACIÓN DIR - OBRA'!AG518</f>
        <v>M2</v>
      </c>
      <c r="P177" s="2" t="s">
        <v>67</v>
      </c>
      <c r="Q177" s="2"/>
    </row>
    <row r="178" spans="1:17" ht="45">
      <c r="A178" s="1"/>
      <c r="B178" s="1646"/>
      <c r="C178" s="1" t="str">
        <f>OBRA!CE517</f>
        <v>2018-2021</v>
      </c>
      <c r="D178" s="1">
        <f>OBRA!K517</f>
        <v>2020</v>
      </c>
      <c r="E178" s="1644"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44" t="s">
        <v>4761</v>
      </c>
      <c r="I178" s="3" t="str">
        <f>OBRA!R517</f>
        <v>CABECERA MUNICIPAL</v>
      </c>
      <c r="J178" s="3" t="s">
        <v>2491</v>
      </c>
      <c r="K178" s="3" t="s">
        <v>4832</v>
      </c>
      <c r="L178" s="3" t="s">
        <v>67</v>
      </c>
      <c r="M178" s="1648">
        <f>OBRA!AT517+OBRA!AU517</f>
        <v>5170423.96</v>
      </c>
      <c r="N178" s="243">
        <f>'ADMININSTRACIÓN DIR - OBRA'!AF519</f>
        <v>2007.25</v>
      </c>
      <c r="O178" s="243" t="str">
        <f>'ADMININSTRACIÓN DIR - OBRA'!AG519</f>
        <v>M2</v>
      </c>
      <c r="P178" s="2" t="s">
        <v>67</v>
      </c>
      <c r="Q178" s="2"/>
    </row>
    <row r="179" spans="1:17" ht="45">
      <c r="A179" s="1"/>
      <c r="B179" s="1646"/>
      <c r="C179" s="1" t="str">
        <f>OBRA!CE518</f>
        <v>2018-2021</v>
      </c>
      <c r="D179" s="1">
        <f>OBRA!K518</f>
        <v>2020</v>
      </c>
      <c r="E179" s="1644" t="str">
        <f>OBRA!P518</f>
        <v>CONCURSO SIMPLIFICADO SUMARIO</v>
      </c>
      <c r="F179" s="1305" t="str">
        <f>OBRA!O518</f>
        <v>FOCOCI-OP-CSS-031/2020</v>
      </c>
      <c r="G179" s="3" t="str">
        <f>OBRA!Q518</f>
        <v>"INTERVENCIÓN Y RESTAURACIÓN DE MERCADO MUNICIPAL MORELOS”, UBICADO EN CALLE MORELOS EN LA CABECERA MUNICIPAL DE JOCOTEPEC, JALISCO</v>
      </c>
      <c r="H179" s="1644" t="s">
        <v>4761</v>
      </c>
      <c r="I179" s="3" t="str">
        <f>OBRA!R518</f>
        <v>CABECERA MUNICIPAL</v>
      </c>
      <c r="J179" s="3" t="s">
        <v>2491</v>
      </c>
      <c r="K179" s="3" t="s">
        <v>4832</v>
      </c>
      <c r="L179" s="3" t="s">
        <v>67</v>
      </c>
      <c r="M179" s="1648">
        <f>OBRA!AT518+OBRA!AU518</f>
        <v>4629475.5599999996</v>
      </c>
      <c r="N179" s="243">
        <f>'ADMININSTRACIÓN DIR - OBRA'!AF520</f>
        <v>2007.25</v>
      </c>
      <c r="O179" s="243" t="str">
        <f>'ADMININSTRACIÓN DIR - OBRA'!AG520</f>
        <v>M2</v>
      </c>
      <c r="P179" s="2" t="s">
        <v>67</v>
      </c>
      <c r="Q179" s="2"/>
    </row>
    <row r="180" spans="1:17" ht="45">
      <c r="A180" s="1"/>
      <c r="B180" s="1646"/>
      <c r="C180" s="1" t="str">
        <f>OBRA!CE519</f>
        <v>2018-2021</v>
      </c>
      <c r="D180" s="1">
        <f>OBRA!K519</f>
        <v>2020</v>
      </c>
      <c r="E180" s="1644" t="str">
        <f>OBRA!P519</f>
        <v>ADJUDICACIÓN DIRECTA</v>
      </c>
      <c r="F180" s="1305" t="str">
        <f>OBRA!O519</f>
        <v>GMJ 032C- OP/2020</v>
      </c>
      <c r="G180" s="3" t="str">
        <f>OBRA!Q519</f>
        <v>"CONSTRUCCIÓN DE LÍNEA DE DRENAJE SANITARIO EN PRIVADA RAÚL RAMÍREZ", EN LA LOCALIDAD DE SAN JUAN COSALA DEL MUNICIPIO DE JOCOTEPEC, JALISCO.</v>
      </c>
      <c r="H180" s="1644" t="s">
        <v>4750</v>
      </c>
      <c r="I180" s="3" t="str">
        <f>OBRA!R519</f>
        <v>SAN JUAN COSALÁ</v>
      </c>
      <c r="J180" s="3" t="s">
        <v>4800</v>
      </c>
      <c r="K180" s="3" t="s">
        <v>4801</v>
      </c>
      <c r="L180" s="3" t="s">
        <v>4770</v>
      </c>
      <c r="M180" s="1648">
        <f>OBRA!AT519+OBRA!AU519</f>
        <v>287771.57</v>
      </c>
      <c r="N180" s="243">
        <f>'ADMININSTRACIÓN DIR - OBRA'!AF521</f>
        <v>172.45</v>
      </c>
      <c r="O180" s="243" t="str">
        <f>'ADMININSTRACIÓN DIR - OBRA'!AG521</f>
        <v>ML</v>
      </c>
      <c r="P180" s="2" t="s">
        <v>4973</v>
      </c>
      <c r="Q180" s="2"/>
    </row>
    <row r="181" spans="1:17" ht="45">
      <c r="A181" s="1"/>
      <c r="B181" s="1646"/>
      <c r="C181" s="1" t="str">
        <f>OBRA!CE520</f>
        <v>2018-2021</v>
      </c>
      <c r="D181" s="1">
        <f>OBRA!K520</f>
        <v>2020</v>
      </c>
      <c r="E181" s="1644" t="str">
        <f>OBRA!P520</f>
        <v>ADJUDICACIÓN DIRECTA</v>
      </c>
      <c r="F181" s="1305" t="str">
        <f>OBRA!O520</f>
        <v>GMJ 033C- OP/2020</v>
      </c>
      <c r="G181" s="3" t="str">
        <f>OBRA!Q520</f>
        <v>"REMOZAMIENTO Y MEJORAMIENTO DE IMAGEN URBANA EN EL TEMPLO DEL SEÑOR DEL MONTE” EN LA CABECERA MUNICIPAL DE JOCOTEPEC, JALISCO</v>
      </c>
      <c r="H181" s="1644" t="s">
        <v>4752</v>
      </c>
      <c r="I181" s="3" t="str">
        <f>OBRA!R520</f>
        <v>CABECERA MUNICIPAL</v>
      </c>
      <c r="J181" s="3" t="s">
        <v>2622</v>
      </c>
      <c r="K181" s="3" t="s">
        <v>4802</v>
      </c>
      <c r="L181" s="3" t="s">
        <v>67</v>
      </c>
      <c r="M181" s="1648">
        <f>OBRA!AT520+OBRA!AU520</f>
        <v>1600000</v>
      </c>
      <c r="N181" s="243">
        <f>'ADMININSTRACIÓN DIR - OBRA'!AF522</f>
        <v>2832.99</v>
      </c>
      <c r="O181" s="243" t="str">
        <f>'ADMININSTRACIÓN DIR - OBRA'!AG522</f>
        <v>M2</v>
      </c>
      <c r="P181" s="2" t="s">
        <v>67</v>
      </c>
      <c r="Q181" s="2"/>
    </row>
    <row r="182" spans="1:17" ht="60.75" customHeight="1">
      <c r="A182" s="1"/>
      <c r="B182" s="1646"/>
      <c r="C182" s="1" t="str">
        <f>OBRA!CE521</f>
        <v>2018-2021</v>
      </c>
      <c r="D182" s="1">
        <f>OBRA!K521</f>
        <v>2020</v>
      </c>
      <c r="E182" s="1644"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44" t="s">
        <v>4756</v>
      </c>
      <c r="I182" s="3" t="str">
        <f>OBRA!R521</f>
        <v>CABECERA MUNICIPAL</v>
      </c>
      <c r="J182" s="3" t="s">
        <v>3146</v>
      </c>
      <c r="K182" s="3" t="s">
        <v>2531</v>
      </c>
      <c r="L182" s="3" t="s">
        <v>4769</v>
      </c>
      <c r="M182" s="1648">
        <f>OBRA!AT521+OBRA!AU521</f>
        <v>911242.76</v>
      </c>
      <c r="N182" s="243">
        <f>'ADMININSTRACIÓN DIR - OBRA'!AF523</f>
        <v>598.44000000000005</v>
      </c>
      <c r="O182" s="243" t="str">
        <f>'ADMININSTRACIÓN DIR - OBRA'!AG523</f>
        <v>ML</v>
      </c>
      <c r="P182" s="593" t="s">
        <v>4975</v>
      </c>
      <c r="Q182" s="1305" t="s">
        <v>4974</v>
      </c>
    </row>
    <row r="183" spans="1:17" ht="45.75" customHeight="1">
      <c r="A183" s="1"/>
      <c r="B183" s="1646"/>
      <c r="C183" s="1" t="str">
        <f>OBRA!CE522</f>
        <v>2018-2021</v>
      </c>
      <c r="D183" s="1">
        <f>OBRA!K522</f>
        <v>2020</v>
      </c>
      <c r="E183" s="1644" t="str">
        <f>OBRA!P522</f>
        <v>ADJUDICACIÓN DIRECTA</v>
      </c>
      <c r="F183" s="1305" t="str">
        <f>OBRA!O522</f>
        <v>GMJ 035C- OP/2020</v>
      </c>
      <c r="G183" s="3" t="str">
        <f>OBRA!Q522</f>
        <v>OBRA CIVIL "REHABILITACIÓN DEL RASTRO MUNICIPAL 2DA ETAPA", DE LA CABECERA MUNICIPAL DE JOCOTEPEC, JALISCO.</v>
      </c>
      <c r="H183" s="1644" t="s">
        <v>4760</v>
      </c>
      <c r="I183" s="3" t="str">
        <f>OBRA!R522</f>
        <v>CABECERA MUNICIPAL</v>
      </c>
      <c r="J183" s="3" t="s">
        <v>3146</v>
      </c>
      <c r="K183" s="3" t="s">
        <v>2531</v>
      </c>
      <c r="L183" s="3" t="s">
        <v>4803</v>
      </c>
      <c r="M183" s="1679">
        <f>OBRA!S522</f>
        <v>537866.98</v>
      </c>
      <c r="N183" s="243">
        <f>'ADMININSTRACIÓN DIR - OBRA'!AF524</f>
        <v>0</v>
      </c>
      <c r="O183" s="243" t="str">
        <f>'ADMININSTRACIÓN DIR - OBRA'!AG524</f>
        <v>M2</v>
      </c>
      <c r="P183" s="2" t="s">
        <v>67</v>
      </c>
      <c r="Q183" s="2"/>
    </row>
    <row r="184" spans="1:17" ht="22.5" hidden="1">
      <c r="A184" s="1"/>
      <c r="B184" s="1"/>
      <c r="C184" s="1" t="str">
        <f>OBRA!CE523</f>
        <v>2018-2021</v>
      </c>
      <c r="D184" s="1">
        <f>OBRA!K523</f>
        <v>2020</v>
      </c>
      <c r="E184" s="1644" t="str">
        <f>OBRA!P523</f>
        <v>CANCELADA</v>
      </c>
      <c r="F184" s="1644" t="str">
        <f>OBRA!O523</f>
        <v>GMJ 036C- OP/2020</v>
      </c>
      <c r="G184" s="3" t="str">
        <f>OBRA!Q523</f>
        <v>CONTRATO CANCELADO</v>
      </c>
      <c r="H184" s="1"/>
      <c r="I184" s="3">
        <f>OBRA!R523</f>
        <v>0</v>
      </c>
      <c r="J184" s="3"/>
      <c r="K184" s="3"/>
      <c r="L184" s="3"/>
      <c r="M184" s="1648">
        <f>OBRA!AT523+OBRA!AU523</f>
        <v>0</v>
      </c>
      <c r="N184" s="1">
        <f>'ADMININSTRACIÓN DIR - OBRA'!AF525</f>
        <v>0</v>
      </c>
      <c r="O184" s="1">
        <f>'ADMININSTRACIÓN DIR - OBRA'!AG525</f>
        <v>0</v>
      </c>
      <c r="P184" s="1"/>
      <c r="Q184" s="1"/>
    </row>
    <row r="185" spans="1:17" ht="47.25" customHeight="1">
      <c r="A185" s="1"/>
      <c r="B185" s="1646"/>
      <c r="C185" s="1" t="str">
        <f>OBRA!CE524</f>
        <v>2018-2021</v>
      </c>
      <c r="D185" s="1">
        <f>OBRA!K524</f>
        <v>2020</v>
      </c>
      <c r="E185" s="1644" t="str">
        <f>OBRA!P524</f>
        <v>ADJUDICACIÓN DIRECTA</v>
      </c>
      <c r="F185" s="1305" t="str">
        <f>OBRA!O524</f>
        <v>GMJ 037C- OP/2020</v>
      </c>
      <c r="G185" s="3" t="str">
        <f>OBRA!Q524</f>
        <v>"CONSTRUCCIÓN DE BANQUETAS EN UNIDAD DEPORTIVA ZARAGOZA” EN LA CABECERA MUNICIPAL DE JOCOTEPEC, JALISCO.</v>
      </c>
      <c r="H185" s="1644" t="s">
        <v>4751</v>
      </c>
      <c r="I185" s="3" t="str">
        <f>OBRA!R524</f>
        <v>CABECERA MUNICIPAL</v>
      </c>
      <c r="J185" s="3" t="s">
        <v>2700</v>
      </c>
      <c r="K185" s="3" t="s">
        <v>4686</v>
      </c>
      <c r="L185" s="3" t="s">
        <v>2538</v>
      </c>
      <c r="M185" s="1648">
        <f>OBRA!AT524+OBRA!AU524</f>
        <v>229496.26</v>
      </c>
      <c r="N185" s="243">
        <f>'ADMININSTRACIÓN DIR - OBRA'!AF526</f>
        <v>251.6</v>
      </c>
      <c r="O185" s="243" t="str">
        <f>'ADMININSTRACIÓN DIR - OBRA'!AG526</f>
        <v>M2</v>
      </c>
      <c r="P185" s="2" t="s">
        <v>4976</v>
      </c>
      <c r="Q185" s="2"/>
    </row>
    <row r="186" spans="1:17" ht="75">
      <c r="A186" s="1"/>
      <c r="B186" s="1646"/>
      <c r="C186" s="1" t="str">
        <f>OBRA!CE525</f>
        <v>2018-2021</v>
      </c>
      <c r="D186" s="1">
        <f>OBRA!K525</f>
        <v>2020</v>
      </c>
      <c r="E186" s="1644"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44" t="s">
        <v>4748</v>
      </c>
      <c r="I186" s="3" t="str">
        <f>OBRA!R525</f>
        <v>POTRERILLOS</v>
      </c>
      <c r="J186" s="3" t="s">
        <v>4647</v>
      </c>
      <c r="K186" s="3" t="s">
        <v>67</v>
      </c>
      <c r="L186" s="3" t="s">
        <v>67</v>
      </c>
      <c r="M186" s="1679">
        <f>OBRA!S525</f>
        <v>868714.16</v>
      </c>
      <c r="N186" s="243">
        <f>'ADMININSTRACIÓN DIR - OBRA'!AF527</f>
        <v>462.05</v>
      </c>
      <c r="O186" s="243" t="str">
        <f>'ADMININSTRACIÓN DIR - OBRA'!AG527</f>
        <v>M2</v>
      </c>
      <c r="P186" s="2" t="s">
        <v>67</v>
      </c>
      <c r="Q186" s="2"/>
    </row>
    <row r="187" spans="1:17" ht="90" hidden="1">
      <c r="A187" s="1"/>
      <c r="B187" s="1"/>
      <c r="C187" s="1" t="str">
        <f>OBRA!CE526</f>
        <v>2018-2021</v>
      </c>
      <c r="D187" s="1">
        <f>OBRA!K526</f>
        <v>2021</v>
      </c>
      <c r="E187" s="1644" t="str">
        <f>OBRA!P526</f>
        <v>CONVENIO</v>
      </c>
      <c r="F187" s="1644"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48">
        <f>OBRA!AT526+OBRA!AU526</f>
        <v>0</v>
      </c>
      <c r="N187" s="1" t="str">
        <f>'ADMININSTRACIÓN DIR - OBRA'!AF528</f>
        <v>-</v>
      </c>
      <c r="O187" s="1" t="str">
        <f>'ADMININSTRACIÓN DIR - OBRA'!AG528</f>
        <v>-</v>
      </c>
      <c r="P187" s="1"/>
      <c r="Q187" s="1"/>
    </row>
    <row r="188" spans="1:17" ht="45" hidden="1">
      <c r="A188" s="1"/>
      <c r="B188" s="1"/>
      <c r="C188" s="1" t="str">
        <f>OBRA!CE527</f>
        <v>2018-2021</v>
      </c>
      <c r="D188" s="1">
        <f>OBRA!K527</f>
        <v>2021</v>
      </c>
      <c r="E188" s="1644" t="str">
        <f>OBRA!P527</f>
        <v>CANCELADA</v>
      </c>
      <c r="F188" s="1644"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48">
        <f>OBRA!AT527+OBRA!AU527</f>
        <v>0</v>
      </c>
      <c r="N188" s="1">
        <f>'ADMININSTRACIÓN DIR - OBRA'!AF529</f>
        <v>0</v>
      </c>
      <c r="O188" s="1">
        <f>'ADMININSTRACIÓN DIR - OBRA'!AG529</f>
        <v>0</v>
      </c>
      <c r="P188" s="1"/>
      <c r="Q188" s="1"/>
    </row>
    <row r="189" spans="1:17" ht="80.25" customHeight="1">
      <c r="A189" s="1"/>
      <c r="B189" s="1646"/>
      <c r="C189" s="1" t="str">
        <f>OBRA!CE528</f>
        <v>2018-2021</v>
      </c>
      <c r="D189" s="1">
        <f>OBRA!K528</f>
        <v>2021</v>
      </c>
      <c r="E189" s="1644"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44" t="s">
        <v>4752</v>
      </c>
      <c r="I189" s="3" t="str">
        <f>OBRA!R528</f>
        <v>ZAPOTITÁN DE HIDALGO</v>
      </c>
      <c r="J189" s="3" t="s">
        <v>4896</v>
      </c>
      <c r="K189" s="3" t="s">
        <v>67</v>
      </c>
      <c r="L189" s="3" t="s">
        <v>67</v>
      </c>
      <c r="M189" s="1648">
        <f>OBRA!AT528+OBRA!AU528</f>
        <v>693456.15999999992</v>
      </c>
      <c r="N189" s="243">
        <f>'ADMININSTRACIÓN DIR - OBRA'!AF530</f>
        <v>567.16999999999996</v>
      </c>
      <c r="O189" s="243" t="str">
        <f>'ADMININSTRACIÓN DIR - OBRA'!AG530</f>
        <v>M2</v>
      </c>
      <c r="P189" s="2" t="s">
        <v>4926</v>
      </c>
      <c r="Q189" s="2"/>
    </row>
    <row r="190" spans="1:17" ht="75">
      <c r="A190" s="1"/>
      <c r="B190" s="1646"/>
      <c r="C190" s="1" t="str">
        <f>OBRA!CE529</f>
        <v>2018-2021</v>
      </c>
      <c r="D190" s="1">
        <f>OBRA!K529</f>
        <v>2021</v>
      </c>
      <c r="E190" s="1644"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44" t="s">
        <v>4756</v>
      </c>
      <c r="I190" s="3" t="str">
        <f>OBRA!R529</f>
        <v>CABECERA MUNICIPAL</v>
      </c>
      <c r="J190" s="3" t="s">
        <v>2491</v>
      </c>
      <c r="K190" s="3" t="s">
        <v>4791</v>
      </c>
      <c r="L190" s="3" t="s">
        <v>2569</v>
      </c>
      <c r="M190" s="1679">
        <f>OBRA!S529</f>
        <v>174639.07</v>
      </c>
      <c r="N190" s="243">
        <f>'ADMININSTRACIÓN DIR - OBRA'!AF531</f>
        <v>48.83</v>
      </c>
      <c r="O190" s="243" t="str">
        <f>'ADMININSTRACIÓN DIR - OBRA'!AG531</f>
        <v>ML</v>
      </c>
      <c r="P190" s="2" t="s">
        <v>4927</v>
      </c>
      <c r="Q190" s="2"/>
    </row>
    <row r="191" spans="1:17" ht="45">
      <c r="A191" s="1"/>
      <c r="B191" s="1646"/>
      <c r="C191" s="1" t="str">
        <f>OBRA!CE530</f>
        <v>2018-2021</v>
      </c>
      <c r="D191" s="1">
        <f>OBRA!K530</f>
        <v>2021</v>
      </c>
      <c r="E191" s="1644" t="str">
        <f>OBRA!P530</f>
        <v>ADMINISTRACIÓN DIRECTA</v>
      </c>
      <c r="F191" s="1305" t="str">
        <f>OBRA!O530</f>
        <v>DOP/AD/004/2021</v>
      </c>
      <c r="G191" s="3" t="str">
        <f>OBRA!Q530</f>
        <v>"REHABILITACIÓN DE PISOS EN AULAS DE LA ESCUELA PRIMARIA JOSE SANTANA", EN LA CABECERA MUNICIPAL DE JOCOTEPEC, JALISCO.</v>
      </c>
      <c r="H191" s="1644" t="s">
        <v>4762</v>
      </c>
      <c r="I191" s="3" t="str">
        <f>OBRA!R530</f>
        <v>CABECERA MUNICIPAL</v>
      </c>
      <c r="J191" s="3" t="s">
        <v>4804</v>
      </c>
      <c r="K191" s="3" t="s">
        <v>67</v>
      </c>
      <c r="L191" s="3" t="s">
        <v>67</v>
      </c>
      <c r="M191" s="1679">
        <f>OBRA!S530</f>
        <v>27000</v>
      </c>
      <c r="N191" s="243">
        <f>'ADMININSTRACIÓN DIR - OBRA'!AF532</f>
        <v>0</v>
      </c>
      <c r="O191" s="243" t="str">
        <f>'ADMININSTRACIÓN DIR - OBRA'!AG532</f>
        <v>M2</v>
      </c>
      <c r="P191" s="2" t="s">
        <v>67</v>
      </c>
      <c r="Q191" s="2"/>
    </row>
    <row r="192" spans="1:17" ht="60">
      <c r="A192" s="1"/>
      <c r="B192" s="1646"/>
      <c r="C192" s="1" t="str">
        <f>OBRA!CE531</f>
        <v>2018-2021</v>
      </c>
      <c r="D192" s="1">
        <f>OBRA!K531</f>
        <v>2021</v>
      </c>
      <c r="E192" s="1644"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44" t="s">
        <v>4756</v>
      </c>
      <c r="I192" s="3" t="str">
        <f>OBRA!R531</f>
        <v>HUEJOTITÁN</v>
      </c>
      <c r="J192" s="3" t="s">
        <v>4805</v>
      </c>
      <c r="K192" s="3" t="s">
        <v>67</v>
      </c>
      <c r="L192" s="3" t="s">
        <v>67</v>
      </c>
      <c r="M192" s="1679">
        <f>OBRA!S531</f>
        <v>266000</v>
      </c>
      <c r="N192" s="243">
        <f>'ADMININSTRACIÓN DIR - OBRA'!AF533</f>
        <v>652</v>
      </c>
      <c r="O192" s="243" t="str">
        <f>'ADMININSTRACIÓN DIR - OBRA'!AG533</f>
        <v>ML</v>
      </c>
      <c r="P192" s="2" t="s">
        <v>4928</v>
      </c>
      <c r="Q192" s="2"/>
    </row>
    <row r="193" spans="1:17" hidden="1">
      <c r="A193" s="1"/>
      <c r="B193" s="1"/>
      <c r="C193" s="1" t="str">
        <f>OBRA!CE532</f>
        <v>2018-2021</v>
      </c>
      <c r="D193" s="1">
        <f>OBRA!K532</f>
        <v>2021</v>
      </c>
      <c r="E193" s="1644" t="str">
        <f>OBRA!P532</f>
        <v>CANCELADA</v>
      </c>
      <c r="F193" s="1644" t="str">
        <f>OBRA!O532</f>
        <v>DOP/AD/006/2021</v>
      </c>
      <c r="G193" s="3">
        <f>OBRA!Q532</f>
        <v>0</v>
      </c>
      <c r="H193" s="1"/>
      <c r="I193" s="3">
        <f>OBRA!R532</f>
        <v>0</v>
      </c>
      <c r="J193" s="3"/>
      <c r="K193" s="3"/>
      <c r="L193" s="3"/>
      <c r="M193" s="1648">
        <f>OBRA!AT532+OBRA!AU532</f>
        <v>0</v>
      </c>
      <c r="N193" s="1">
        <f>'ADMININSTRACIÓN DIR - OBRA'!AF534</f>
        <v>0</v>
      </c>
      <c r="O193" s="1">
        <f>'ADMININSTRACIÓN DIR - OBRA'!AG534</f>
        <v>0</v>
      </c>
      <c r="P193" s="1"/>
      <c r="Q193" s="1"/>
    </row>
    <row r="194" spans="1:17" ht="45" hidden="1">
      <c r="A194" s="1"/>
      <c r="B194" s="1"/>
      <c r="C194" s="1" t="str">
        <f>OBRA!CE533</f>
        <v>2018-2021</v>
      </c>
      <c r="D194" s="1">
        <f>OBRA!K533</f>
        <v>2021</v>
      </c>
      <c r="E194" s="1644" t="str">
        <f>OBRA!P533</f>
        <v>CANCELADA</v>
      </c>
      <c r="F194" s="1644"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48">
        <f>OBRA!AT533+OBRA!AU533</f>
        <v>0</v>
      </c>
      <c r="N194" s="1">
        <f>'ADMININSTRACIÓN DIR - OBRA'!AF535</f>
        <v>0</v>
      </c>
      <c r="O194" s="1">
        <f>'ADMININSTRACIÓN DIR - OBRA'!AG535</f>
        <v>0</v>
      </c>
      <c r="P194" s="1"/>
      <c r="Q194" s="1"/>
    </row>
    <row r="195" spans="1:17" ht="60">
      <c r="A195" s="1"/>
      <c r="B195" s="1646"/>
      <c r="C195" s="1" t="str">
        <f>OBRA!CE534</f>
        <v>2018-2021</v>
      </c>
      <c r="D195" s="1">
        <f>OBRA!K534</f>
        <v>2021</v>
      </c>
      <c r="E195" s="1644"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44" t="s">
        <v>4750</v>
      </c>
      <c r="I195" s="3" t="str">
        <f>OBRA!R534</f>
        <v>LA LOMA</v>
      </c>
      <c r="J195" s="3" t="s">
        <v>4657</v>
      </c>
      <c r="K195" s="3" t="s">
        <v>4789</v>
      </c>
      <c r="L195" s="3" t="s">
        <v>4770</v>
      </c>
      <c r="M195" s="1679">
        <f>OBRA!S534</f>
        <v>113778.58</v>
      </c>
      <c r="N195" s="243">
        <f>'ADMININSTRACIÓN DIR - OBRA'!AF536</f>
        <v>62</v>
      </c>
      <c r="O195" s="243" t="str">
        <f>'ADMININSTRACIÓN DIR - OBRA'!AG536</f>
        <v>ML</v>
      </c>
      <c r="P195" s="2" t="s">
        <v>4929</v>
      </c>
      <c r="Q195" s="2"/>
    </row>
    <row r="196" spans="1:17" ht="60" hidden="1">
      <c r="A196" s="1"/>
      <c r="B196" s="1"/>
      <c r="C196" s="1" t="str">
        <f>OBRA!CE535</f>
        <v>2018-2021</v>
      </c>
      <c r="D196" s="1">
        <f>OBRA!K535</f>
        <v>2021</v>
      </c>
      <c r="E196" s="1644" t="str">
        <f>OBRA!P535</f>
        <v>CANCELADA</v>
      </c>
      <c r="F196" s="1644"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48">
        <f>OBRA!AT535+OBRA!AU535</f>
        <v>0</v>
      </c>
      <c r="N196" s="1">
        <f>'ADMININSTRACIÓN DIR - OBRA'!AF537</f>
        <v>0</v>
      </c>
      <c r="O196" s="1">
        <f>'ADMININSTRACIÓN DIR - OBRA'!AG537</f>
        <v>0</v>
      </c>
      <c r="P196" s="1"/>
      <c r="Q196" s="1"/>
    </row>
    <row r="197" spans="1:17" hidden="1">
      <c r="A197" s="1"/>
      <c r="B197" s="1"/>
      <c r="C197" s="1" t="str">
        <f>OBRA!CE536</f>
        <v>2018-2021</v>
      </c>
      <c r="D197" s="1">
        <f>OBRA!K536</f>
        <v>2021</v>
      </c>
      <c r="E197" s="1644" t="str">
        <f>OBRA!P536</f>
        <v>CANCELADA</v>
      </c>
      <c r="F197" s="1644" t="str">
        <f>OBRA!O536</f>
        <v>DOP/AD/010/2021</v>
      </c>
      <c r="G197" s="3">
        <f>OBRA!Q536</f>
        <v>0</v>
      </c>
      <c r="H197" s="1"/>
      <c r="I197" s="3">
        <f>OBRA!R536</f>
        <v>0</v>
      </c>
      <c r="J197" s="3"/>
      <c r="K197" s="3"/>
      <c r="L197" s="3"/>
      <c r="M197" s="1648">
        <f>OBRA!AT536+OBRA!AU536</f>
        <v>0</v>
      </c>
      <c r="N197" s="1">
        <f>'ADMININSTRACIÓN DIR - OBRA'!AF538</f>
        <v>0</v>
      </c>
      <c r="O197" s="1">
        <f>'ADMININSTRACIÓN DIR - OBRA'!AG538</f>
        <v>0</v>
      </c>
      <c r="P197" s="1"/>
      <c r="Q197" s="1"/>
    </row>
    <row r="198" spans="1:17" ht="117" customHeight="1">
      <c r="A198" s="1"/>
      <c r="B198" s="1646"/>
      <c r="C198" s="1" t="str">
        <f>OBRA!CE537</f>
        <v>2018-2021</v>
      </c>
      <c r="D198" s="1">
        <f>OBRA!K537</f>
        <v>2021</v>
      </c>
      <c r="E198" s="1644"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44" t="s">
        <v>4752</v>
      </c>
      <c r="I198" s="3" t="str">
        <f>OBRA!R537</f>
        <v>CABECERA MUNICIPAL</v>
      </c>
      <c r="J198" s="3" t="s">
        <v>2622</v>
      </c>
      <c r="K198" s="3" t="s">
        <v>4802</v>
      </c>
      <c r="L198" s="3" t="s">
        <v>67</v>
      </c>
      <c r="M198" s="1679">
        <f>OBRA!S537</f>
        <v>271040</v>
      </c>
      <c r="N198" s="243">
        <f>'ADMININSTRACIÓN DIR - OBRA'!AF539</f>
        <v>536.30999999999995</v>
      </c>
      <c r="O198" s="243" t="str">
        <f>'ADMININSTRACIÓN DIR - OBRA'!AG539</f>
        <v>M2</v>
      </c>
      <c r="P198" s="2" t="s">
        <v>4930</v>
      </c>
      <c r="Q198" s="2"/>
    </row>
    <row r="199" spans="1:17" ht="30" hidden="1">
      <c r="A199" s="1"/>
      <c r="B199" s="1"/>
      <c r="C199" s="1" t="str">
        <f>OBRA!CE538</f>
        <v>2018-2021</v>
      </c>
      <c r="D199" s="1">
        <f>OBRA!K538</f>
        <v>2021</v>
      </c>
      <c r="E199" s="1644" t="str">
        <f>OBRA!P538</f>
        <v>CANCELADA</v>
      </c>
      <c r="F199" s="1644" t="str">
        <f>OBRA!O538</f>
        <v>DOP/AD/012/2021</v>
      </c>
      <c r="G199" s="3" t="str">
        <f>OBRA!Q538</f>
        <v>“COMPLEMENTO DE OBRA CIVIL EN EL RASTRO MUNICIPAL”, DE LA CABECERA MUNICIPAL DE JOCOTEPEC, JALISCO.</v>
      </c>
      <c r="H199" s="1"/>
      <c r="I199" s="3">
        <f>OBRA!R538</f>
        <v>0</v>
      </c>
      <c r="J199" s="3"/>
      <c r="K199" s="3"/>
      <c r="L199" s="3"/>
      <c r="M199" s="1648">
        <f>OBRA!AT538+OBRA!AU538</f>
        <v>0</v>
      </c>
      <c r="N199" s="1">
        <f>'ADMININSTRACIÓN DIR - OBRA'!AF540</f>
        <v>0</v>
      </c>
      <c r="O199" s="1">
        <f>'ADMININSTRACIÓN DIR - OBRA'!AG540</f>
        <v>0</v>
      </c>
      <c r="P199" s="1"/>
      <c r="Q199" s="1"/>
    </row>
    <row r="200" spans="1:17" ht="75">
      <c r="A200" s="1"/>
      <c r="B200" s="1646"/>
      <c r="C200" s="1" t="str">
        <f>OBRA!CE539</f>
        <v>2018-2021</v>
      </c>
      <c r="D200" s="1">
        <f>OBRA!K539</f>
        <v>2021</v>
      </c>
      <c r="E200" s="1644"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44" t="s">
        <v>4755</v>
      </c>
      <c r="I200" s="3" t="str">
        <f>OBRA!R539</f>
        <v>CABECERA MUNICIPAL</v>
      </c>
      <c r="J200" s="3" t="s">
        <v>4831</v>
      </c>
      <c r="K200" s="3" t="s">
        <v>4803</v>
      </c>
      <c r="L200" s="674" t="s">
        <v>67</v>
      </c>
      <c r="M200" s="1679">
        <f>OBRA!S539</f>
        <v>168528.09</v>
      </c>
      <c r="N200" s="243">
        <f>'ADMININSTRACIÓN DIR - OBRA'!AF541</f>
        <v>561.4</v>
      </c>
      <c r="O200" s="243" t="str">
        <f>'ADMININSTRACIÓN DIR - OBRA'!AG541</f>
        <v>M2</v>
      </c>
      <c r="P200" s="1305" t="s">
        <v>4931</v>
      </c>
      <c r="Q200" s="2"/>
    </row>
    <row r="201" spans="1:17" ht="45">
      <c r="A201" s="1"/>
      <c r="B201" s="1646"/>
      <c r="C201" s="1" t="str">
        <f>OBRA!CE540</f>
        <v>2018-2021</v>
      </c>
      <c r="D201" s="1">
        <f>OBRA!K540</f>
        <v>2021</v>
      </c>
      <c r="E201" s="1644" t="str">
        <f>OBRA!P540</f>
        <v>ADMINISTRACIÓN DIRECTA</v>
      </c>
      <c r="F201" s="1305" t="str">
        <f>OBRA!O540</f>
        <v>DOP/AD/014/2021</v>
      </c>
      <c r="G201" s="3" t="str">
        <f>OBRA!Q540</f>
        <v>CONSTRUCCIÓN DE EMPEDRADO ZAMPEADO EN VIALIDAD CALLE GUAYABITOS, EN LA LOCALIDAD DE CHANTEPEC, DEL MUNICIPIO DE JOCOTEPEC, JALISCO.</v>
      </c>
      <c r="H201" s="1644" t="s">
        <v>4755</v>
      </c>
      <c r="I201" s="3" t="str">
        <f>OBRA!R540</f>
        <v>CHANTEPEC</v>
      </c>
      <c r="J201" s="3" t="s">
        <v>4076</v>
      </c>
      <c r="K201" s="3" t="s">
        <v>2569</v>
      </c>
      <c r="L201" s="3" t="s">
        <v>4700</v>
      </c>
      <c r="M201" s="1679">
        <f>OBRA!S540</f>
        <v>80674.649999999994</v>
      </c>
      <c r="N201" s="243">
        <f>'ADMININSTRACIÓN DIR - OBRA'!AF542</f>
        <v>231</v>
      </c>
      <c r="O201" s="243" t="str">
        <f>'ADMININSTRACIÓN DIR - OBRA'!AG542</f>
        <v>M2</v>
      </c>
      <c r="P201" s="2" t="s">
        <v>4932</v>
      </c>
      <c r="Q201" s="2"/>
    </row>
    <row r="202" spans="1:17" ht="42" customHeight="1">
      <c r="A202" s="1"/>
      <c r="B202" s="1646"/>
      <c r="C202" s="1" t="str">
        <f>OBRA!CE541</f>
        <v>2018-2021</v>
      </c>
      <c r="D202" s="1">
        <f>OBRA!K541</f>
        <v>2021</v>
      </c>
      <c r="E202" s="1644" t="str">
        <f>OBRA!P541</f>
        <v>ADMINISTRACIÓN DIRECTA</v>
      </c>
      <c r="F202" s="1305" t="str">
        <f>OBRA!O541</f>
        <v>DOP/AD/015/2021</v>
      </c>
      <c r="G202" s="3" t="str">
        <f>OBRA!Q541</f>
        <v>CONSTRUCCIÓN DE EMPEDRADO ZAMPEADO EN LA LOCALIDAD DE LA LOMA</v>
      </c>
      <c r="H202" s="1644" t="s">
        <v>4755</v>
      </c>
      <c r="I202" s="3" t="str">
        <f>OBRA!R541</f>
        <v>LA LOMA</v>
      </c>
      <c r="J202" s="3" t="s">
        <v>4897</v>
      </c>
      <c r="K202" s="3" t="s">
        <v>67</v>
      </c>
      <c r="L202" s="3" t="s">
        <v>67</v>
      </c>
      <c r="M202" s="1679">
        <f>OBRA!S541</f>
        <v>966321.38</v>
      </c>
      <c r="N202" s="243">
        <f>'ADMININSTRACIÓN DIR - OBRA'!AF543</f>
        <v>2672.24</v>
      </c>
      <c r="O202" s="243" t="str">
        <f>'ADMININSTRACIÓN DIR - OBRA'!AG543</f>
        <v>M2</v>
      </c>
      <c r="P202" s="2" t="s">
        <v>4932</v>
      </c>
      <c r="Q202" s="2"/>
    </row>
    <row r="203" spans="1:17" ht="56.25" customHeight="1">
      <c r="A203" s="1"/>
      <c r="B203" s="1646"/>
      <c r="C203" s="1" t="str">
        <f>OBRA!CE542</f>
        <v>2018-2021</v>
      </c>
      <c r="D203" s="1">
        <f>OBRA!K542</f>
        <v>2021</v>
      </c>
      <c r="E203" s="1644" t="str">
        <f>OBRA!P542</f>
        <v>ADMINISTRACIÓN DIRECTA</v>
      </c>
      <c r="F203" s="1305" t="str">
        <f>OBRA!O542</f>
        <v>DOP/AD/016/2021</v>
      </c>
      <c r="G203" s="3" t="str">
        <f>OBRA!Q542</f>
        <v>CONSTRUCCIÓN DE EMPEDRADO ZAMPEADO EN LA LOCALIDAD DE LA SAN JUAN COSALA</v>
      </c>
      <c r="H203" s="1644" t="s">
        <v>4755</v>
      </c>
      <c r="I203" s="3" t="str">
        <f>OBRA!R542</f>
        <v>SAN JUAN COSALÁ</v>
      </c>
      <c r="J203" s="3" t="s">
        <v>4898</v>
      </c>
      <c r="K203" s="3" t="s">
        <v>67</v>
      </c>
      <c r="L203" s="3" t="s">
        <v>67</v>
      </c>
      <c r="M203" s="1679">
        <f>OBRA!S542</f>
        <v>831652.39</v>
      </c>
      <c r="N203" s="243">
        <f>'ADMININSTRACIÓN DIR - OBRA'!AF544</f>
        <v>2278.63</v>
      </c>
      <c r="O203" s="243" t="str">
        <f>'ADMININSTRACIÓN DIR - OBRA'!AG544</f>
        <v>M2</v>
      </c>
      <c r="P203" s="2" t="s">
        <v>4932</v>
      </c>
      <c r="Q203" s="2"/>
    </row>
    <row r="204" spans="1:17" ht="30">
      <c r="A204" s="1"/>
      <c r="B204" s="1646"/>
      <c r="C204" s="1" t="str">
        <f>OBRA!CE543</f>
        <v>2018-2021</v>
      </c>
      <c r="D204" s="1">
        <f>OBRA!K543</f>
        <v>2021</v>
      </c>
      <c r="E204" s="1644" t="str">
        <f>OBRA!P543</f>
        <v>ADMINISTRACIÓN DIRECTA</v>
      </c>
      <c r="F204" s="1305" t="str">
        <f>OBRA!O543</f>
        <v>DOP/AD/017/2021</v>
      </c>
      <c r="G204" s="3" t="str">
        <f>OBRA!Q543</f>
        <v>CONSTRUCCIÓN DE EMPEDRADO ZAMPEADO EN LA LOCALIDAD DE LA NEXTIPAC</v>
      </c>
      <c r="H204" s="1644" t="s">
        <v>4755</v>
      </c>
      <c r="I204" s="3" t="str">
        <f>OBRA!R543</f>
        <v>NEXTIPAC</v>
      </c>
      <c r="J204" s="3" t="s">
        <v>4899</v>
      </c>
      <c r="K204" s="3" t="s">
        <v>67</v>
      </c>
      <c r="L204" s="3" t="s">
        <v>67</v>
      </c>
      <c r="M204" s="1679">
        <f>OBRA!S543</f>
        <v>1965177.84</v>
      </c>
      <c r="N204" s="243">
        <f>'ADMININSTRACIÓN DIR - OBRA'!AF545</f>
        <v>5565.6399999999994</v>
      </c>
      <c r="O204" s="243" t="str">
        <f>'ADMININSTRACIÓN DIR - OBRA'!AG545</f>
        <v>M2</v>
      </c>
      <c r="P204" s="2" t="s">
        <v>4932</v>
      </c>
      <c r="Q204" s="2"/>
    </row>
    <row r="205" spans="1:17" ht="81.75" customHeight="1">
      <c r="A205" s="1"/>
      <c r="B205" s="1646"/>
      <c r="C205" s="1" t="str">
        <f>OBRA!CE544</f>
        <v>2018-2021</v>
      </c>
      <c r="D205" s="1">
        <f>OBRA!K544</f>
        <v>2021</v>
      </c>
      <c r="E205" s="1644"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44" t="s">
        <v>4755</v>
      </c>
      <c r="I205" s="3" t="str">
        <f>OBRA!R544</f>
        <v>EL MOLINO</v>
      </c>
      <c r="J205" s="3" t="s">
        <v>4079</v>
      </c>
      <c r="K205" s="3" t="s">
        <v>4806</v>
      </c>
      <c r="L205" s="3" t="s">
        <v>4797</v>
      </c>
      <c r="M205" s="1679">
        <f>OBRA!S544</f>
        <v>643795.13</v>
      </c>
      <c r="N205" s="243">
        <f>'ADMININSTRACIÓN DIR - OBRA'!AF546</f>
        <v>1782.99</v>
      </c>
      <c r="O205" s="243" t="str">
        <f>'ADMININSTRACIÓN DIR - OBRA'!AG546</f>
        <v>M2</v>
      </c>
      <c r="P205" s="2" t="s">
        <v>4932</v>
      </c>
      <c r="Q205" s="2"/>
    </row>
    <row r="206" spans="1:17" ht="78" customHeight="1">
      <c r="A206" s="1"/>
      <c r="B206" s="1646"/>
      <c r="C206" s="1" t="str">
        <f>OBRA!CE545</f>
        <v>2018-2021</v>
      </c>
      <c r="D206" s="1">
        <f>OBRA!K545</f>
        <v>2021</v>
      </c>
      <c r="E206" s="1644"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44" t="s">
        <v>4755</v>
      </c>
      <c r="I206" s="3" t="str">
        <f>OBRA!R545</f>
        <v>POTRERILLOS</v>
      </c>
      <c r="J206" s="3" t="s">
        <v>3149</v>
      </c>
      <c r="K206" s="3" t="s">
        <v>4723</v>
      </c>
      <c r="L206" s="3" t="s">
        <v>4807</v>
      </c>
      <c r="M206" s="1679">
        <f>OBRA!S545</f>
        <v>512378.61</v>
      </c>
      <c r="N206" s="243">
        <f>'ADMININSTRACIÓN DIR - OBRA'!AF547</f>
        <v>1361.3</v>
      </c>
      <c r="O206" s="243" t="str">
        <f>'ADMININSTRACIÓN DIR - OBRA'!AG547</f>
        <v>M2</v>
      </c>
      <c r="P206" s="2" t="s">
        <v>4932</v>
      </c>
      <c r="Q206" s="2"/>
    </row>
    <row r="207" spans="1:17" hidden="1">
      <c r="A207" s="1"/>
      <c r="B207" s="1"/>
      <c r="C207" s="1" t="str">
        <f>OBRA!CE546</f>
        <v>2018-2021</v>
      </c>
      <c r="D207" s="1">
        <f>OBRA!K546</f>
        <v>2021</v>
      </c>
      <c r="E207" s="1644" t="str">
        <f>OBRA!P546</f>
        <v>CANCELADA</v>
      </c>
      <c r="F207" s="1644" t="str">
        <f>OBRA!O546</f>
        <v>DOP/AD/020/2021</v>
      </c>
      <c r="G207" s="3">
        <f>OBRA!Q546</f>
        <v>0</v>
      </c>
      <c r="H207" s="1"/>
      <c r="I207" s="3">
        <f>OBRA!R546</f>
        <v>0</v>
      </c>
      <c r="J207" s="3"/>
      <c r="K207" s="3"/>
      <c r="L207" s="3"/>
      <c r="M207" s="1648">
        <f>OBRA!AT546+OBRA!AU546</f>
        <v>0</v>
      </c>
      <c r="N207" s="1">
        <f>'ADMININSTRACIÓN DIR - OBRA'!AF548</f>
        <v>0</v>
      </c>
      <c r="O207" s="1">
        <f>'ADMININSTRACIÓN DIR - OBRA'!AG548</f>
        <v>0</v>
      </c>
      <c r="P207" s="1"/>
      <c r="Q207" s="1"/>
    </row>
    <row r="208" spans="1:17" ht="45" hidden="1">
      <c r="A208" s="1"/>
      <c r="B208" s="1"/>
      <c r="C208" s="1" t="str">
        <f>OBRA!CE547</f>
        <v>2018-2021</v>
      </c>
      <c r="D208" s="1">
        <f>OBRA!K547</f>
        <v>2021</v>
      </c>
      <c r="E208" s="1644" t="str">
        <f>OBRA!P547</f>
        <v>ARRENDAMIENTO</v>
      </c>
      <c r="F208" s="1644"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48">
        <f>OBRA!AT547+OBRA!AU547</f>
        <v>0</v>
      </c>
      <c r="N208" s="1">
        <f>'ADMININSTRACIÓN DIR - OBRA'!AF549</f>
        <v>1</v>
      </c>
      <c r="O208" s="1" t="str">
        <f>'ADMININSTRACIÓN DIR - OBRA'!AG549</f>
        <v>MAQ</v>
      </c>
      <c r="P208" s="1"/>
      <c r="Q208" s="1"/>
    </row>
    <row r="209" spans="1:17" ht="45" hidden="1">
      <c r="A209" s="1"/>
      <c r="B209" s="1"/>
      <c r="C209" s="1" t="str">
        <f>OBRA!CE548</f>
        <v>2018-2021</v>
      </c>
      <c r="D209" s="1">
        <f>OBRA!K548</f>
        <v>2021</v>
      </c>
      <c r="E209" s="1644" t="str">
        <f>OBRA!P548</f>
        <v>ARRENDAMIENTO</v>
      </c>
      <c r="F209" s="1644"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48">
        <f>OBRA!AT548+OBRA!AU548</f>
        <v>0</v>
      </c>
      <c r="N209" s="1">
        <f>'ADMININSTRACIÓN DIR - OBRA'!AF550</f>
        <v>1</v>
      </c>
      <c r="O209" s="1" t="str">
        <f>'ADMININSTRACIÓN DIR - OBRA'!AG550</f>
        <v>MAQ</v>
      </c>
      <c r="P209" s="1"/>
      <c r="Q209" s="1"/>
    </row>
    <row r="210" spans="1:17" ht="22.5" hidden="1">
      <c r="A210" s="1"/>
      <c r="B210" s="1646"/>
      <c r="C210" s="1" t="str">
        <f>OBRA!CE549</f>
        <v>2018-2021</v>
      </c>
      <c r="D210" s="1">
        <f>OBRA!K549</f>
        <v>2021</v>
      </c>
      <c r="E210" s="1644" t="str">
        <f>OBRA!P549</f>
        <v>ARRENDAMIENTO (CANCELADO)</v>
      </c>
      <c r="F210" s="1644" t="str">
        <f>OBRA!O549</f>
        <v>C- OP 003/2021</v>
      </c>
      <c r="G210" s="3">
        <f>OBRA!Q549</f>
        <v>0</v>
      </c>
      <c r="H210" s="1644"/>
      <c r="I210" s="3">
        <f>OBRA!R549</f>
        <v>0</v>
      </c>
      <c r="J210" s="544"/>
      <c r="K210" s="544"/>
      <c r="L210" s="544"/>
      <c r="M210" s="1648">
        <f>OBRA!AT549+OBRA!AU549</f>
        <v>0</v>
      </c>
      <c r="N210" s="1">
        <f>'ADMININSTRACIÓN DIR - OBRA'!AF551</f>
        <v>0</v>
      </c>
      <c r="O210" s="1">
        <f>'ADMININSTRACIÓN DIR - OBRA'!AG551</f>
        <v>0</v>
      </c>
      <c r="P210" s="1"/>
      <c r="Q210" s="1"/>
    </row>
    <row r="211" spans="1:17" ht="75" hidden="1">
      <c r="A211" s="1"/>
      <c r="B211" s="1"/>
      <c r="C211" s="1" t="str">
        <f>OBRA!CE550</f>
        <v>2018-2021</v>
      </c>
      <c r="D211" s="1">
        <f>OBRA!K550</f>
        <v>2021</v>
      </c>
      <c r="E211" s="1644" t="str">
        <f>OBRA!P550</f>
        <v>ARRENDAMIENTO</v>
      </c>
      <c r="F211" s="1644"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48">
        <f>OBRA!AT550+OBRA!AU550</f>
        <v>0</v>
      </c>
      <c r="N211" s="1">
        <f>'ADMININSTRACIÓN DIR - OBRA'!AF552</f>
        <v>1</v>
      </c>
      <c r="O211" s="1" t="str">
        <f>'ADMININSTRACIÓN DIR - OBRA'!AG552</f>
        <v>MAQ</v>
      </c>
      <c r="P211" s="1"/>
      <c r="Q211" s="1"/>
    </row>
    <row r="212" spans="1:17" ht="60" hidden="1">
      <c r="A212" s="1"/>
      <c r="B212" s="1"/>
      <c r="C212" s="1" t="str">
        <f>OBRA!CE551</f>
        <v>2018-2021</v>
      </c>
      <c r="D212" s="1">
        <f>OBRA!K551</f>
        <v>2021</v>
      </c>
      <c r="E212" s="1644" t="str">
        <f>OBRA!P551</f>
        <v>ARRENDAMIENTO</v>
      </c>
      <c r="F212" s="1644"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48">
        <f>OBRA!AT551+OBRA!AU551</f>
        <v>0</v>
      </c>
      <c r="N212" s="1">
        <f>'ADMININSTRACIÓN DIR - OBRA'!AF553</f>
        <v>1</v>
      </c>
      <c r="O212" s="1" t="str">
        <f>'ADMININSTRACIÓN DIR - OBRA'!AG553</f>
        <v>MAQ</v>
      </c>
      <c r="P212" s="1"/>
      <c r="Q212" s="1"/>
    </row>
    <row r="213" spans="1:17" ht="60" hidden="1">
      <c r="A213" s="1"/>
      <c r="B213" s="1"/>
      <c r="C213" s="1" t="str">
        <f>OBRA!CE552</f>
        <v>2018-2021</v>
      </c>
      <c r="D213" s="1">
        <f>OBRA!K552</f>
        <v>2021</v>
      </c>
      <c r="E213" s="1644" t="str">
        <f>OBRA!P552</f>
        <v>ARRENDAMIENTO</v>
      </c>
      <c r="F213" s="1644"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48">
        <f>OBRA!AT552+OBRA!AU552</f>
        <v>0</v>
      </c>
      <c r="N213" s="1">
        <f>'ADMININSTRACIÓN DIR - OBRA'!AF554</f>
        <v>1</v>
      </c>
      <c r="O213" s="1" t="str">
        <f>'ADMININSTRACIÓN DIR - OBRA'!AG554</f>
        <v>MAQ</v>
      </c>
      <c r="P213" s="1"/>
      <c r="Q213" s="1"/>
    </row>
    <row r="214" spans="1:17" ht="60" hidden="1">
      <c r="A214" s="1"/>
      <c r="B214" s="1"/>
      <c r="C214" s="1" t="str">
        <f>OBRA!CE553</f>
        <v>2018-2021</v>
      </c>
      <c r="D214" s="1">
        <f>OBRA!K553</f>
        <v>2021</v>
      </c>
      <c r="E214" s="1644" t="str">
        <f>OBRA!P553</f>
        <v>ARRENDAMIENTO</v>
      </c>
      <c r="F214" s="1644"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48">
        <f>OBRA!AT553+OBRA!AU553</f>
        <v>0</v>
      </c>
      <c r="N214" s="1">
        <f>'ADMININSTRACIÓN DIR - OBRA'!AF555</f>
        <v>1</v>
      </c>
      <c r="O214" s="1" t="str">
        <f>'ADMININSTRACIÓN DIR - OBRA'!AG555</f>
        <v>MAQ</v>
      </c>
      <c r="P214" s="1"/>
      <c r="Q214" s="1"/>
    </row>
    <row r="215" spans="1:17" ht="75" hidden="1">
      <c r="A215" s="1"/>
      <c r="B215" s="1"/>
      <c r="C215" s="1" t="str">
        <f>OBRA!CE554</f>
        <v>2018-2021</v>
      </c>
      <c r="D215" s="1">
        <f>OBRA!K554</f>
        <v>2021</v>
      </c>
      <c r="E215" s="1644" t="str">
        <f>OBRA!P554</f>
        <v>ARRENDAMIENTO</v>
      </c>
      <c r="F215" s="1644"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48">
        <f>OBRA!AT554+OBRA!AU554</f>
        <v>0</v>
      </c>
      <c r="N215" s="1">
        <f>'ADMININSTRACIÓN DIR - OBRA'!AF556</f>
        <v>1</v>
      </c>
      <c r="O215" s="1" t="str">
        <f>'ADMININSTRACIÓN DIR - OBRA'!AG556</f>
        <v>MAQ</v>
      </c>
      <c r="P215" s="1"/>
      <c r="Q215" s="1"/>
    </row>
    <row r="216" spans="1:17" ht="75" hidden="1">
      <c r="A216" s="1"/>
      <c r="B216" s="1"/>
      <c r="C216" s="1" t="str">
        <f>OBRA!CE555</f>
        <v>2018-2021</v>
      </c>
      <c r="D216" s="1">
        <f>OBRA!K555</f>
        <v>2021</v>
      </c>
      <c r="E216" s="1644" t="str">
        <f>OBRA!P555</f>
        <v>ARRENDAMIENTO</v>
      </c>
      <c r="F216" s="1644"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48">
        <f>OBRA!AT555+OBRA!AU555</f>
        <v>0</v>
      </c>
      <c r="N216" s="1">
        <f>'ADMININSTRACIÓN DIR - OBRA'!AF557</f>
        <v>1</v>
      </c>
      <c r="O216" s="1" t="str">
        <f>'ADMININSTRACIÓN DIR - OBRA'!AG557</f>
        <v>MAQ</v>
      </c>
      <c r="P216" s="1"/>
      <c r="Q216" s="1"/>
    </row>
    <row r="217" spans="1:17" ht="60" hidden="1">
      <c r="A217" s="1"/>
      <c r="B217" s="1"/>
      <c r="C217" s="1" t="str">
        <f>OBRA!CE556</f>
        <v>2018-2021</v>
      </c>
      <c r="D217" s="1">
        <f>OBRA!K556</f>
        <v>2021</v>
      </c>
      <c r="E217" s="1644" t="str">
        <f>OBRA!P556</f>
        <v>SERVICIOS</v>
      </c>
      <c r="F217" s="1644"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48">
        <f>OBRA!AT556+OBRA!AU556</f>
        <v>0</v>
      </c>
      <c r="N217" s="1">
        <f>'ADMININSTRACIÓN DIR - OBRA'!AF558</f>
        <v>1</v>
      </c>
      <c r="O217" s="1" t="str">
        <f>'ADMININSTRACIÓN DIR - OBRA'!AG558</f>
        <v>ESTUDIO</v>
      </c>
      <c r="P217" s="1"/>
      <c r="Q217" s="1"/>
    </row>
    <row r="218" spans="1:17" ht="22.5" hidden="1">
      <c r="A218" s="1"/>
      <c r="B218" s="1"/>
      <c r="C218" s="1" t="str">
        <f>OBRA!CE557</f>
        <v>2018-2021</v>
      </c>
      <c r="D218" s="1">
        <f>OBRA!K557</f>
        <v>2021</v>
      </c>
      <c r="E218" s="1644" t="str">
        <f>OBRA!P557</f>
        <v>SERVICIOS (CANCELADO)</v>
      </c>
      <c r="F218" s="1644" t="str">
        <f>OBRA!O557</f>
        <v>C.P.S.P. D.O.P. 002/2021</v>
      </c>
      <c r="G218" s="3">
        <f>OBRA!Q557</f>
        <v>0</v>
      </c>
      <c r="H218" s="1"/>
      <c r="I218" s="3">
        <f>OBRA!R557</f>
        <v>0</v>
      </c>
      <c r="J218" s="3"/>
      <c r="K218" s="3"/>
      <c r="L218" s="3"/>
      <c r="M218" s="1648">
        <f>OBRA!AT557+OBRA!AU557</f>
        <v>0</v>
      </c>
      <c r="N218" s="1">
        <f>'ADMININSTRACIÓN DIR - OBRA'!AF559</f>
        <v>0</v>
      </c>
      <c r="O218" s="1">
        <f>'ADMININSTRACIÓN DIR - OBRA'!AG559</f>
        <v>0</v>
      </c>
      <c r="P218" s="1"/>
      <c r="Q218" s="1"/>
    </row>
    <row r="219" spans="1:17" ht="60" hidden="1">
      <c r="A219" s="1"/>
      <c r="B219" s="1"/>
      <c r="C219" s="1" t="str">
        <f>OBRA!CE558</f>
        <v>2018-2021</v>
      </c>
      <c r="D219" s="1">
        <f>OBRA!K558</f>
        <v>2021</v>
      </c>
      <c r="E219" s="1644" t="str">
        <f>OBRA!P558</f>
        <v>SERVICIOS</v>
      </c>
      <c r="F219" s="1644"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48">
        <f>OBRA!AT558+OBRA!AU558</f>
        <v>0</v>
      </c>
      <c r="N219" s="1">
        <f>'ADMININSTRACIÓN DIR - OBRA'!AF560</f>
        <v>1</v>
      </c>
      <c r="O219" s="1" t="str">
        <f>'ADMININSTRACIÓN DIR - OBRA'!AG560</f>
        <v>LOTE</v>
      </c>
      <c r="P219" s="1"/>
      <c r="Q219" s="1"/>
    </row>
    <row r="220" spans="1:17" ht="22.5" hidden="1">
      <c r="A220" s="1"/>
      <c r="B220" s="1"/>
      <c r="C220" s="1" t="str">
        <f>OBRA!CE559</f>
        <v>2018-2021</v>
      </c>
      <c r="D220" s="1">
        <f>OBRA!K559</f>
        <v>2021</v>
      </c>
      <c r="E220" s="1644" t="str">
        <f>OBRA!P559</f>
        <v>SERVICIOS (CANCELADO)</v>
      </c>
      <c r="F220" s="1644" t="str">
        <f>OBRA!O559</f>
        <v>C.P.S.P. D.O.P. 004/2021</v>
      </c>
      <c r="G220" s="3">
        <f>OBRA!Q559</f>
        <v>0</v>
      </c>
      <c r="H220" s="1"/>
      <c r="I220" s="3">
        <f>OBRA!R559</f>
        <v>0</v>
      </c>
      <c r="J220" s="3"/>
      <c r="K220" s="3"/>
      <c r="L220" s="3"/>
      <c r="M220" s="1648">
        <f>OBRA!AT559+OBRA!AU559</f>
        <v>0</v>
      </c>
      <c r="N220" s="1">
        <f>'ADMININSTRACIÓN DIR - OBRA'!AF561</f>
        <v>0</v>
      </c>
      <c r="O220" s="1">
        <f>'ADMININSTRACIÓN DIR - OBRA'!AG561</f>
        <v>0</v>
      </c>
      <c r="P220" s="1"/>
      <c r="Q220" s="1"/>
    </row>
    <row r="221" spans="1:17" ht="105" hidden="1">
      <c r="A221" s="1"/>
      <c r="B221" s="1"/>
      <c r="C221" s="1" t="str">
        <f>OBRA!CE560</f>
        <v>2018-2021</v>
      </c>
      <c r="D221" s="1">
        <f>OBRA!K560</f>
        <v>2021</v>
      </c>
      <c r="E221" s="1644" t="str">
        <f>OBRA!P560</f>
        <v>SERVICIOS</v>
      </c>
      <c r="F221" s="1644"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48">
        <f>OBRA!AT560+OBRA!AU560</f>
        <v>0</v>
      </c>
      <c r="N221" s="1">
        <f>'ADMININSTRACIÓN DIR - OBRA'!AF562</f>
        <v>1</v>
      </c>
      <c r="O221" s="1" t="str">
        <f>'ADMININSTRACIÓN DIR - OBRA'!AG562</f>
        <v>LOTE</v>
      </c>
      <c r="P221" s="1"/>
      <c r="Q221" s="1"/>
    </row>
    <row r="222" spans="1:17" ht="22.5" hidden="1">
      <c r="A222" s="1"/>
      <c r="B222" s="1"/>
      <c r="C222" s="1" t="str">
        <f>OBRA!CE561</f>
        <v>2018-2021</v>
      </c>
      <c r="D222" s="1">
        <f>OBRA!K561</f>
        <v>2021</v>
      </c>
      <c r="E222" s="1644" t="str">
        <f>OBRA!P561</f>
        <v>SERVICIOS (CANCELADO)</v>
      </c>
      <c r="F222" s="1644" t="str">
        <f>OBRA!O561</f>
        <v>C.P.S.P. D.O.P. 006/2021</v>
      </c>
      <c r="G222" s="3">
        <f>OBRA!Q561</f>
        <v>0</v>
      </c>
      <c r="H222" s="1"/>
      <c r="I222" s="3">
        <f>OBRA!R561</f>
        <v>0</v>
      </c>
      <c r="J222" s="3"/>
      <c r="K222" s="3"/>
      <c r="L222" s="3"/>
      <c r="M222" s="1648">
        <f>OBRA!AT561+OBRA!AU561</f>
        <v>0</v>
      </c>
      <c r="N222" s="1">
        <f>'ADMININSTRACIÓN DIR - OBRA'!AF563</f>
        <v>0</v>
      </c>
      <c r="O222" s="1">
        <f>'ADMININSTRACIÓN DIR - OBRA'!AG563</f>
        <v>0</v>
      </c>
      <c r="P222" s="1"/>
      <c r="Q222" s="1"/>
    </row>
    <row r="223" spans="1:17" ht="90" hidden="1">
      <c r="A223" s="1"/>
      <c r="B223" s="1"/>
      <c r="C223" s="1" t="str">
        <f>OBRA!CE562</f>
        <v>2018-2021</v>
      </c>
      <c r="D223" s="1">
        <f>OBRA!K562</f>
        <v>2021</v>
      </c>
      <c r="E223" s="1644" t="str">
        <f>OBRA!P562</f>
        <v>SERVICIOS</v>
      </c>
      <c r="F223" s="1644"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48">
        <f>OBRA!AT562+OBRA!AU562</f>
        <v>0</v>
      </c>
      <c r="N223" s="1">
        <f>'ADMININSTRACIÓN DIR - OBRA'!AF564</f>
        <v>1</v>
      </c>
      <c r="O223" s="1" t="str">
        <f>'ADMININSTRACIÓN DIR - OBRA'!AG564</f>
        <v>ESTUDIO</v>
      </c>
      <c r="P223" s="1"/>
      <c r="Q223" s="1"/>
    </row>
    <row r="224" spans="1:17" ht="165" hidden="1">
      <c r="A224" s="1"/>
      <c r="B224" s="1"/>
      <c r="C224" s="1" t="str">
        <f>OBRA!CE563</f>
        <v>2018-2021</v>
      </c>
      <c r="D224" s="1">
        <f>OBRA!K563</f>
        <v>2021</v>
      </c>
      <c r="E224" s="1644" t="str">
        <f>OBRA!P563</f>
        <v>SERVICIOS</v>
      </c>
      <c r="F224" s="1644"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48">
        <f>OBRA!AT563+OBRA!AU563</f>
        <v>0</v>
      </c>
      <c r="N224" s="1">
        <f>'ADMININSTRACIÓN DIR - OBRA'!AF565</f>
        <v>1</v>
      </c>
      <c r="O224" s="1" t="str">
        <f>'ADMININSTRACIÓN DIR - OBRA'!AG565</f>
        <v>LOTE</v>
      </c>
      <c r="P224" s="1"/>
      <c r="Q224" s="1"/>
    </row>
    <row r="225" spans="1:17" ht="90" hidden="1">
      <c r="A225" s="1"/>
      <c r="B225" s="1"/>
      <c r="C225" s="1" t="str">
        <f>OBRA!CE564</f>
        <v>2018-2021</v>
      </c>
      <c r="D225" s="1">
        <f>OBRA!K564</f>
        <v>2021</v>
      </c>
      <c r="E225" s="1644" t="str">
        <f>OBRA!P564</f>
        <v>SERVICIOS</v>
      </c>
      <c r="F225" s="1644"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48">
        <f>OBRA!AT564+OBRA!AU564</f>
        <v>0</v>
      </c>
      <c r="N225" s="1">
        <f>'ADMININSTRACIÓN DIR - OBRA'!AF566</f>
        <v>15</v>
      </c>
      <c r="O225" s="1" t="str">
        <f>'ADMININSTRACIÓN DIR - OBRA'!AG566</f>
        <v>LEV-TOP</v>
      </c>
      <c r="P225" s="1"/>
      <c r="Q225" s="1"/>
    </row>
    <row r="226" spans="1:17" ht="57.75" customHeight="1">
      <c r="A226" s="1"/>
      <c r="B226" s="1646"/>
      <c r="C226" s="1" t="str">
        <f>OBRA!CE565</f>
        <v>2018-2021</v>
      </c>
      <c r="D226" s="1">
        <f>OBRA!K565</f>
        <v>2021</v>
      </c>
      <c r="E226" s="1644" t="str">
        <f>OBRA!P565</f>
        <v>ADJUDICACIÓN DIRECTA</v>
      </c>
      <c r="F226" s="1305" t="str">
        <f>OBRA!O565</f>
        <v>GMJ 001C- OP/2021</v>
      </c>
      <c r="G226" s="3" t="str">
        <f>OBRA!Q565</f>
        <v>"PERFORACIÓN DE POZO PROFUNDO "MORELOS" A 250 ML", EN LA AGENCIA MUNICIPAL DE NEXTIPAC, DEL MUNICIPIO DE JOCOTEPEC, JALISCO.</v>
      </c>
      <c r="H226" s="1644" t="s">
        <v>4754</v>
      </c>
      <c r="I226" s="3" t="str">
        <f>OBRA!R565</f>
        <v>NEXTIPAC</v>
      </c>
      <c r="J226" s="3" t="s">
        <v>2491</v>
      </c>
      <c r="K226" s="3" t="s">
        <v>4808</v>
      </c>
      <c r="L226" s="3" t="s">
        <v>67</v>
      </c>
      <c r="M226" s="1648">
        <f>OBRA!AT565+OBRA!AU565</f>
        <v>1293027.17</v>
      </c>
      <c r="N226" s="243">
        <f>'ADMININSTRACIÓN DIR - OBRA'!AF567</f>
        <v>250</v>
      </c>
      <c r="O226" s="243" t="str">
        <f>'ADMININSTRACIÓN DIR - OBRA'!AG567</f>
        <v>ML</v>
      </c>
      <c r="P226" s="2" t="s">
        <v>67</v>
      </c>
      <c r="Q226" s="2"/>
    </row>
    <row r="227" spans="1:17" ht="132" customHeight="1">
      <c r="A227" s="1"/>
      <c r="B227" s="1646"/>
      <c r="C227" s="1" t="str">
        <f>OBRA!CE566</f>
        <v>2018-2021</v>
      </c>
      <c r="D227" s="1">
        <f>OBRA!K566</f>
        <v>2021</v>
      </c>
      <c r="E227" s="1644"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44" t="s">
        <v>4759</v>
      </c>
      <c r="I227" s="3" t="str">
        <f>OBRA!R566</f>
        <v>NEXTIPAC</v>
      </c>
      <c r="J227" s="3" t="s">
        <v>2491</v>
      </c>
      <c r="K227" s="3" t="s">
        <v>4793</v>
      </c>
      <c r="L227" s="3" t="s">
        <v>4808</v>
      </c>
      <c r="M227" s="1648">
        <f>OBRA!AT566+OBRA!AU566</f>
        <v>2507056.77</v>
      </c>
      <c r="N227" s="243">
        <f>'ADMININSTRACIÓN DIR - OBRA'!AF568</f>
        <v>788.8</v>
      </c>
      <c r="O227" s="243" t="str">
        <f>'ADMININSTRACIÓN DIR - OBRA'!AG568</f>
        <v>M2</v>
      </c>
      <c r="P227" s="593" t="s">
        <v>4933</v>
      </c>
      <c r="Q227" s="1305" t="s">
        <v>4936</v>
      </c>
    </row>
    <row r="228" spans="1:17" ht="45" hidden="1">
      <c r="A228" s="1"/>
      <c r="B228" s="1"/>
      <c r="C228" s="1" t="str">
        <f>OBRA!CE567</f>
        <v>2018-2021</v>
      </c>
      <c r="D228" s="1">
        <f>OBRA!K567</f>
        <v>2021</v>
      </c>
      <c r="E228" s="1644" t="str">
        <f>OBRA!P567</f>
        <v>CANCELADA</v>
      </c>
      <c r="F228" s="1644"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48">
        <f>OBRA!AT567+OBRA!AU567</f>
        <v>0</v>
      </c>
      <c r="N228" s="1">
        <f>'ADMININSTRACIÓN DIR - OBRA'!AF569</f>
        <v>0</v>
      </c>
      <c r="O228" s="1" t="str">
        <f>'ADMININSTRACIÓN DIR - OBRA'!AG569</f>
        <v>M2</v>
      </c>
      <c r="P228" s="1"/>
      <c r="Q228" s="1"/>
    </row>
    <row r="229" spans="1:17" ht="145.5" customHeight="1">
      <c r="A229" s="1"/>
      <c r="B229" s="1646"/>
      <c r="C229" s="1" t="str">
        <f>OBRA!CE568</f>
        <v>2018-2021</v>
      </c>
      <c r="D229" s="1">
        <f>OBRA!K568</f>
        <v>2021</v>
      </c>
      <c r="E229" s="1644"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44" t="s">
        <v>4759</v>
      </c>
      <c r="I229" s="3" t="str">
        <f>OBRA!R568</f>
        <v>NEXTIPAC</v>
      </c>
      <c r="J229" s="3" t="s">
        <v>2491</v>
      </c>
      <c r="K229" s="3" t="s">
        <v>4808</v>
      </c>
      <c r="L229" s="3" t="s">
        <v>4792</v>
      </c>
      <c r="M229" s="1648">
        <f>OBRA!AT568+OBRA!AU568</f>
        <v>8221897.79</v>
      </c>
      <c r="N229" s="243">
        <f>'ADMININSTRACIÓN DIR - OBRA'!AF570</f>
        <v>2431.5300000000002</v>
      </c>
      <c r="O229" s="243" t="str">
        <f>'ADMININSTRACIÓN DIR - OBRA'!AG570</f>
        <v>M2</v>
      </c>
      <c r="P229" s="593" t="s">
        <v>4935</v>
      </c>
      <c r="Q229" s="1305" t="s">
        <v>4937</v>
      </c>
    </row>
    <row r="230" spans="1:17" ht="69.75" customHeight="1">
      <c r="A230" s="1"/>
      <c r="B230" s="1646"/>
      <c r="C230" s="1" t="str">
        <f>OBRA!CE569</f>
        <v>2018-2021</v>
      </c>
      <c r="D230" s="1">
        <f>OBRA!K569</f>
        <v>2021</v>
      </c>
      <c r="E230" s="1644" t="str">
        <f>OBRA!P569</f>
        <v>ADJUDICACIÓN DIRECTA</v>
      </c>
      <c r="F230" s="1305" t="str">
        <f>OBRA!O569</f>
        <v>GMJ 005C- OP/2021</v>
      </c>
      <c r="G230" s="3" t="str">
        <f>OBRA!Q569</f>
        <v>"IMAGEN URBANA EN CALLE MORELOS ENTRE CALLE GONZÁLEZ ORTEGA A CRISTOBAL COLÓN" EN LA CABECERA MUNICIPAL DE JOCOTEPEC, JALISCO, (NEXTIPAC).</v>
      </c>
      <c r="H230" s="1644" t="s">
        <v>4752</v>
      </c>
      <c r="I230" s="3" t="str">
        <f>OBRA!R569</f>
        <v>NEXTIPAC</v>
      </c>
      <c r="J230" s="3" t="s">
        <v>2491</v>
      </c>
      <c r="K230" s="3" t="s">
        <v>4808</v>
      </c>
      <c r="L230" s="3" t="s">
        <v>4792</v>
      </c>
      <c r="M230" s="1648">
        <f>OBRA!AT569+OBRA!AU569</f>
        <v>434553.82</v>
      </c>
      <c r="N230" s="243">
        <f>'ADMININSTRACIÓN DIR - OBRA'!AF571</f>
        <v>12445.58</v>
      </c>
      <c r="O230" s="243" t="str">
        <f>'ADMININSTRACIÓN DIR - OBRA'!AG571</f>
        <v>M2</v>
      </c>
      <c r="P230" s="389" t="s">
        <v>67</v>
      </c>
      <c r="Q230" s="2"/>
    </row>
    <row r="231" spans="1:17" ht="135.75" customHeight="1">
      <c r="A231" s="1"/>
      <c r="B231" s="1646"/>
      <c r="C231" s="1" t="str">
        <f>OBRA!CE570</f>
        <v>2018-2021</v>
      </c>
      <c r="D231" s="1">
        <f>OBRA!K570</f>
        <v>2021</v>
      </c>
      <c r="E231" s="1644"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44" t="s">
        <v>4759</v>
      </c>
      <c r="I231" s="3" t="str">
        <f>OBRA!R570</f>
        <v>CABECERA MUNICIPAL</v>
      </c>
      <c r="J231" s="3" t="s">
        <v>2491</v>
      </c>
      <c r="K231" s="3" t="s">
        <v>4792</v>
      </c>
      <c r="L231" s="3" t="s">
        <v>4791</v>
      </c>
      <c r="M231" s="1648">
        <f>OBRA!AT570+OBRA!AU570</f>
        <v>1239899.07</v>
      </c>
      <c r="N231" s="243">
        <f>'ADMININSTRACIÓN DIR - OBRA'!AF572</f>
        <v>740</v>
      </c>
      <c r="O231" s="243" t="str">
        <f>'ADMININSTRACIÓN DIR - OBRA'!AG572</f>
        <v>M2</v>
      </c>
      <c r="P231" s="593" t="s">
        <v>4933</v>
      </c>
      <c r="Q231" s="1305" t="s">
        <v>4938</v>
      </c>
    </row>
    <row r="232" spans="1:17" ht="45" hidden="1">
      <c r="A232" s="1"/>
      <c r="B232" s="1"/>
      <c r="C232" s="1" t="str">
        <f>OBRA!CE571</f>
        <v>2018-2021</v>
      </c>
      <c r="D232" s="1">
        <f>OBRA!K571</f>
        <v>2021</v>
      </c>
      <c r="E232" s="1644" t="str">
        <f>OBRA!P571</f>
        <v>CANCELADA</v>
      </c>
      <c r="F232" s="1644" t="str">
        <f>OBRA!O571</f>
        <v>GMJ 007C- OP/2021</v>
      </c>
      <c r="G232" s="3" t="str">
        <f>OBRA!Q571</f>
        <v>"IMAGEN URBANA EN CALLE MORELOS DE CALLE CRISTOBAL COLÓN A CALLE RICO" EN LA CABECERA MUNICIPAL DE JOCOTEPEC, JALISCO, (NEXTIPAC).</v>
      </c>
      <c r="H232" s="1"/>
      <c r="I232" s="3">
        <f>OBRA!R571</f>
        <v>0</v>
      </c>
      <c r="J232" s="3"/>
      <c r="K232" s="3"/>
      <c r="L232" s="3"/>
      <c r="M232" s="1648">
        <f>OBRA!AT571+OBRA!AU571</f>
        <v>0</v>
      </c>
      <c r="N232" s="1">
        <f>'ADMININSTRACIÓN DIR - OBRA'!AF573</f>
        <v>0</v>
      </c>
      <c r="O232" s="1" t="str">
        <f>'ADMININSTRACIÓN DIR - OBRA'!AG573</f>
        <v>M2</v>
      </c>
      <c r="P232" s="1"/>
      <c r="Q232" s="1"/>
    </row>
    <row r="233" spans="1:17" ht="75">
      <c r="A233" s="1"/>
      <c r="B233" s="1646"/>
      <c r="C233" s="1" t="str">
        <f>OBRA!CE572</f>
        <v>2018-2021</v>
      </c>
      <c r="D233" s="1">
        <f>OBRA!K572</f>
        <v>2021</v>
      </c>
      <c r="E233" s="1644"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44" t="s">
        <v>4748</v>
      </c>
      <c r="I233" s="3" t="str">
        <f>OBRA!R572</f>
        <v>CABECERA MUNICIPAL</v>
      </c>
      <c r="J233" s="3" t="s">
        <v>2491</v>
      </c>
      <c r="K233" s="3" t="s">
        <v>4791</v>
      </c>
      <c r="L233" s="3" t="s">
        <v>2569</v>
      </c>
      <c r="M233" s="1648">
        <f>OBRA!AT572+OBRA!AU572</f>
        <v>1116853.6100000001</v>
      </c>
      <c r="N233" s="243">
        <f>'ADMININSTRACIÓN DIR - OBRA'!AF574</f>
        <v>2593.23</v>
      </c>
      <c r="O233" s="243" t="str">
        <f>'ADMININSTRACIÓN DIR - OBRA'!AG574</f>
        <v>M2</v>
      </c>
      <c r="P233" s="593" t="s">
        <v>4934</v>
      </c>
      <c r="Q233" s="2" t="s">
        <v>4939</v>
      </c>
    </row>
    <row r="234" spans="1:17" ht="75">
      <c r="A234" s="1"/>
      <c r="B234" s="1646"/>
      <c r="C234" s="1" t="str">
        <f>OBRA!CE573</f>
        <v>2018-2021</v>
      </c>
      <c r="D234" s="1">
        <f>OBRA!K573</f>
        <v>2021</v>
      </c>
      <c r="E234" s="1644"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44" t="s">
        <v>4755</v>
      </c>
      <c r="I234" s="3" t="str">
        <f>OBRA!R573</f>
        <v>NEXTIPAC</v>
      </c>
      <c r="J234" s="3" t="s">
        <v>2491</v>
      </c>
      <c r="K234" s="3" t="s">
        <v>4791</v>
      </c>
      <c r="L234" s="3" t="s">
        <v>4809</v>
      </c>
      <c r="M234" s="1648">
        <f>OBRA!AT573+OBRA!AU573</f>
        <v>1480943.65</v>
      </c>
      <c r="N234" s="243">
        <f>'ADMININSTRACIÓN DIR - OBRA'!AF575</f>
        <v>2523.9299999999998</v>
      </c>
      <c r="O234" s="243" t="str">
        <f>'ADMININSTRACIÓN DIR - OBRA'!AG575</f>
        <v>M2</v>
      </c>
      <c r="P234" s="2" t="s">
        <v>67</v>
      </c>
      <c r="Q234" s="2"/>
    </row>
    <row r="235" spans="1:17" ht="160.5" customHeight="1">
      <c r="A235" s="1"/>
      <c r="B235" s="1646"/>
      <c r="C235" s="1" t="str">
        <f>OBRA!CE574</f>
        <v>2018-2021</v>
      </c>
      <c r="D235" s="1">
        <f>OBRA!K574</f>
        <v>2021</v>
      </c>
      <c r="E235" s="1644"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44" t="s">
        <v>4755</v>
      </c>
      <c r="I235" s="3" t="str">
        <f>OBRA!R574</f>
        <v>CABECERA MUNICIPAL</v>
      </c>
      <c r="J235" s="3" t="s">
        <v>4686</v>
      </c>
      <c r="K235" s="3" t="s">
        <v>4810</v>
      </c>
      <c r="L235" s="544" t="s">
        <v>2545</v>
      </c>
      <c r="M235" s="1648">
        <f>OBRA!AT574+OBRA!AU574</f>
        <v>5000000</v>
      </c>
      <c r="N235" s="243">
        <f>'ADMININSTRACIÓN DIR - OBRA'!AF576</f>
        <v>3357.6</v>
      </c>
      <c r="O235" s="243" t="str">
        <f>'ADMININSTRACIÓN DIR - OBRA'!AG576</f>
        <v>M2</v>
      </c>
      <c r="P235" s="593" t="s">
        <v>4940</v>
      </c>
      <c r="Q235" s="1305" t="s">
        <v>4941</v>
      </c>
    </row>
    <row r="236" spans="1:17" ht="45">
      <c r="A236" s="1"/>
      <c r="B236" s="1646"/>
      <c r="C236" s="1" t="str">
        <f>OBRA!CE575</f>
        <v>2018-2021</v>
      </c>
      <c r="D236" s="1">
        <f>OBRA!K575</f>
        <v>2021</v>
      </c>
      <c r="E236" s="1644" t="str">
        <f>OBRA!P575</f>
        <v>CONCURSO SIMPLIFICADO SUMARIO</v>
      </c>
      <c r="F236" s="1305" t="str">
        <f>OBRA!O575</f>
        <v>FOCOCI-OP-CSS-011/2021</v>
      </c>
      <c r="G236" s="3" t="str">
        <f>OBRA!Q575</f>
        <v>"REHABILITACIÓN DE INGRESO A ZAPOTITÁN DE HIDALGO DE LA CARRETERA FEDERAL AL PUENTE EN EL MUNICIPIO DE JOCOTEPEC, JALISCO".</v>
      </c>
      <c r="H236" s="1644" t="s">
        <v>4763</v>
      </c>
      <c r="I236" s="3" t="str">
        <f>OBRA!R575</f>
        <v>ZAPOTITÁN DE HIDALGO</v>
      </c>
      <c r="J236" s="3" t="s">
        <v>3422</v>
      </c>
      <c r="K236" s="3" t="s">
        <v>4769</v>
      </c>
      <c r="L236" s="3" t="s">
        <v>4811</v>
      </c>
      <c r="M236" s="1648">
        <f>OBRA!AT575+OBRA!AU575</f>
        <v>4000000</v>
      </c>
      <c r="N236" s="243">
        <f>'ADMININSTRACIÓN DIR - OBRA'!AF577</f>
        <v>17929</v>
      </c>
      <c r="O236" s="243" t="str">
        <f>'ADMININSTRACIÓN DIR - OBRA'!AG577</f>
        <v>M2</v>
      </c>
      <c r="P236" s="2" t="s">
        <v>67</v>
      </c>
      <c r="Q236" s="2"/>
    </row>
    <row r="237" spans="1:17" ht="45" hidden="1">
      <c r="A237" s="1"/>
      <c r="B237" s="1"/>
      <c r="C237" s="1" t="str">
        <f>OBRA!CE576</f>
        <v>2018-2021</v>
      </c>
      <c r="D237" s="1">
        <f>OBRA!K576</f>
        <v>2021</v>
      </c>
      <c r="E237" s="1644" t="str">
        <f>OBRA!P576</f>
        <v>CANCELADA</v>
      </c>
      <c r="F237" s="1644"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48">
        <f>OBRA!AT576+OBRA!AU576</f>
        <v>0</v>
      </c>
      <c r="N237" s="1">
        <f>'ADMININSTRACIÓN DIR - OBRA'!AF578</f>
        <v>0</v>
      </c>
      <c r="O237" s="1">
        <f>'ADMININSTRACIÓN DIR - OBRA'!AG578</f>
        <v>0</v>
      </c>
      <c r="P237" s="1"/>
      <c r="Q237" s="1"/>
    </row>
    <row r="238" spans="1:17" ht="75">
      <c r="A238" s="1"/>
      <c r="B238" s="1646"/>
      <c r="C238" s="1" t="str">
        <f>OBRA!CE577</f>
        <v>2018-2021</v>
      </c>
      <c r="D238" s="1">
        <f>OBRA!K577</f>
        <v>2021</v>
      </c>
      <c r="E238" s="1644"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44" t="s">
        <v>4763</v>
      </c>
      <c r="I238" s="3" t="str">
        <f>OBRA!R577</f>
        <v>ZAPOTITÁN DE HIDALGO</v>
      </c>
      <c r="J238" s="674" t="s">
        <v>4101</v>
      </c>
      <c r="K238" s="3" t="s">
        <v>67</v>
      </c>
      <c r="L238" s="3" t="s">
        <v>67</v>
      </c>
      <c r="M238" s="1648">
        <f>OBRA!AT577+OBRA!AU577</f>
        <v>725739.42</v>
      </c>
      <c r="N238" s="243">
        <f>'ADMININSTRACIÓN DIR - OBRA'!AF579</f>
        <v>1768</v>
      </c>
      <c r="O238" s="243" t="str">
        <f>'ADMININSTRACIÓN DIR - OBRA'!AG579</f>
        <v>M2</v>
      </c>
      <c r="P238" s="2" t="s">
        <v>67</v>
      </c>
      <c r="Q238" s="2"/>
    </row>
    <row r="239" spans="1:17" ht="90">
      <c r="A239" s="1"/>
      <c r="B239" s="1646"/>
      <c r="C239" s="1" t="str">
        <f>OBRA!CE578</f>
        <v>2018-2021</v>
      </c>
      <c r="D239" s="1">
        <f>OBRA!K578</f>
        <v>2021</v>
      </c>
      <c r="E239" s="1644"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44" t="s">
        <v>4763</v>
      </c>
      <c r="I239" s="3" t="str">
        <f>OBRA!R578</f>
        <v>ZAPOTITÁN DE HIDALGO</v>
      </c>
      <c r="J239" s="674" t="s">
        <v>4101</v>
      </c>
      <c r="K239" s="3" t="s">
        <v>67</v>
      </c>
      <c r="L239" s="3" t="s">
        <v>67</v>
      </c>
      <c r="M239" s="1648">
        <f>OBRA!AT578+OBRA!AU578</f>
        <v>940185.83</v>
      </c>
      <c r="N239" s="243">
        <f>'ADMININSTRACIÓN DIR - OBRA'!AF580</f>
        <v>18185.669999999998</v>
      </c>
      <c r="O239" s="243" t="str">
        <f>'ADMININSTRACIÓN DIR - OBRA'!AG580</f>
        <v>M2</v>
      </c>
      <c r="P239" s="2" t="s">
        <v>67</v>
      </c>
      <c r="Q239" s="2"/>
    </row>
    <row r="240" spans="1:17" ht="47.25" customHeight="1">
      <c r="A240" s="1"/>
      <c r="B240" s="1646"/>
      <c r="C240" s="1" t="str">
        <f>OBRA!CE579</f>
        <v>2018-2021</v>
      </c>
      <c r="D240" s="1">
        <f>OBRA!K579</f>
        <v>2021</v>
      </c>
      <c r="E240" s="1644" t="str">
        <f>OBRA!P579</f>
        <v>ADJUDICACIÓN DIRECTA</v>
      </c>
      <c r="F240" s="1305" t="str">
        <f>OBRA!O579</f>
        <v>GMJ 015C- OP/2021</v>
      </c>
      <c r="G240" s="3" t="str">
        <f>OBRA!Q579</f>
        <v>"EQUIPAMIENTO DE POZO MORELOS" EN LA AGENCIA MINICIPAL DE NEXTIPAC, DEL MUNICIPIO DE JOCOTEPEC, JALISCO.</v>
      </c>
      <c r="H240" s="1644" t="s">
        <v>4754</v>
      </c>
      <c r="I240" s="3" t="str">
        <f>OBRA!R579</f>
        <v>NEXTIPAC</v>
      </c>
      <c r="J240" s="3" t="s">
        <v>2491</v>
      </c>
      <c r="K240" s="3" t="s">
        <v>4808</v>
      </c>
      <c r="L240" s="3" t="s">
        <v>67</v>
      </c>
      <c r="M240" s="1648">
        <f>OBRA!AT579+OBRA!AU579</f>
        <v>347784.24</v>
      </c>
      <c r="N240" s="243">
        <f>'ADMININSTRACIÓN DIR - OBRA'!AF581</f>
        <v>1</v>
      </c>
      <c r="O240" s="243" t="str">
        <f>'ADMININSTRACIÓN DIR - OBRA'!AG581</f>
        <v>POZO</v>
      </c>
      <c r="P240" s="2" t="s">
        <v>67</v>
      </c>
      <c r="Q240" s="2"/>
    </row>
    <row r="241" spans="1:17" ht="45">
      <c r="A241" s="1"/>
      <c r="B241" s="1646"/>
      <c r="C241" s="1" t="str">
        <f>OBRA!CE580</f>
        <v>2018-2021</v>
      </c>
      <c r="D241" s="1">
        <f>OBRA!K580</f>
        <v>2021</v>
      </c>
      <c r="E241" s="1644" t="str">
        <f>OBRA!P580</f>
        <v>ADJUDICACIÓN DIRECTA</v>
      </c>
      <c r="F241" s="1305" t="str">
        <f>OBRA!O580</f>
        <v>GMJ 016C- OP/2021</v>
      </c>
      <c r="G241" s="3" t="str">
        <f>OBRA!Q580</f>
        <v>"PROYECTO DE ELECTRIFICACIÓN Y EQUIPAMIENTO 1ERA ETAPA DE POZO PROFUNDO ALLENDE", UBICADO EN LA CABECERA MUNICIPAL DE JOCOTEPEC, JALISCO</v>
      </c>
      <c r="H241" s="1644" t="s">
        <v>4754</v>
      </c>
      <c r="I241" s="3" t="str">
        <f>OBRA!R580</f>
        <v>CABECERA MUNICIPAL</v>
      </c>
      <c r="J241" s="3" t="s">
        <v>4645</v>
      </c>
      <c r="K241" s="3" t="s">
        <v>4772</v>
      </c>
      <c r="L241" s="3" t="s">
        <v>4812</v>
      </c>
      <c r="M241" s="1648">
        <f>OBRA!AT580+OBRA!AU580</f>
        <v>1083547.77</v>
      </c>
      <c r="N241" s="243">
        <f>'ADMININSTRACIÓN DIR - OBRA'!AF582</f>
        <v>1</v>
      </c>
      <c r="O241" s="243" t="str">
        <f>'ADMININSTRACIÓN DIR - OBRA'!AG582</f>
        <v>POZO</v>
      </c>
      <c r="P241" s="2" t="s">
        <v>67</v>
      </c>
      <c r="Q241" s="2"/>
    </row>
    <row r="242" spans="1:17" ht="48" customHeight="1">
      <c r="A242" s="1"/>
      <c r="B242" s="1646"/>
      <c r="C242" s="1" t="str">
        <f>OBRA!CE581</f>
        <v>2018-2021</v>
      </c>
      <c r="D242" s="1">
        <f>OBRA!K581</f>
        <v>2021</v>
      </c>
      <c r="E242" s="1644" t="str">
        <f>OBRA!P581</f>
        <v>ADJUDICACIÓN DIRECTA</v>
      </c>
      <c r="F242" s="1305" t="str">
        <f>OBRA!O581</f>
        <v>GMJ 017C- OP/2021</v>
      </c>
      <c r="G242" s="3" t="str">
        <f>OBRA!Q581</f>
        <v>"PROYECTO DE ELÉCTRICO DEL RASTRO MUNICIPAL, ETAPA 1,  EN LA CABECERA MUNICIPAL DE JOCOTEPEC, JALISCO</v>
      </c>
      <c r="H242" s="1644" t="s">
        <v>4760</v>
      </c>
      <c r="I242" s="3" t="str">
        <f>OBRA!R581</f>
        <v>CABECERA MUNICIPAL</v>
      </c>
      <c r="J242" s="3" t="s">
        <v>4777</v>
      </c>
      <c r="K242" s="3" t="s">
        <v>2531</v>
      </c>
      <c r="L242" s="3" t="s">
        <v>4803</v>
      </c>
      <c r="M242" s="1648">
        <f>OBRA!AT581+OBRA!AU581</f>
        <v>793793.33</v>
      </c>
      <c r="N242" s="243">
        <f>'ADMININSTRACIÓN DIR - OBRA'!AF583</f>
        <v>1</v>
      </c>
      <c r="O242" s="243" t="str">
        <f>'ADMININSTRACIÓN DIR - OBRA'!AG583</f>
        <v>LOTE</v>
      </c>
      <c r="P242" s="2" t="s">
        <v>67</v>
      </c>
      <c r="Q242" s="2"/>
    </row>
    <row r="243" spans="1:17" ht="60">
      <c r="A243" s="1"/>
      <c r="B243" s="1646"/>
      <c r="C243" s="1" t="str">
        <f>OBRA!CE582</f>
        <v>2018-2021</v>
      </c>
      <c r="D243" s="1">
        <f>OBRA!K582</f>
        <v>2021</v>
      </c>
      <c r="E243" s="1644"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44" t="s">
        <v>4751</v>
      </c>
      <c r="I243" s="3" t="str">
        <f>OBRA!R582</f>
        <v>CABECERA MUNICIPAL</v>
      </c>
      <c r="J243" s="3" t="s">
        <v>2491</v>
      </c>
      <c r="K243" s="3" t="s">
        <v>4791</v>
      </c>
      <c r="L243" s="3" t="s">
        <v>4809</v>
      </c>
      <c r="M243" s="1679">
        <f>OBRA!S582</f>
        <v>1137012.22</v>
      </c>
      <c r="N243" s="243">
        <f>'ADMININSTRACIÓN DIR - OBRA'!AF584</f>
        <v>1661</v>
      </c>
      <c r="O243" s="243" t="str">
        <f>'ADMININSTRACIÓN DIR - OBRA'!AG584</f>
        <v>M2</v>
      </c>
      <c r="P243" s="2" t="s">
        <v>67</v>
      </c>
      <c r="Q243" s="2"/>
    </row>
    <row r="244" spans="1:17" ht="45">
      <c r="A244" s="1"/>
      <c r="B244" s="1646"/>
      <c r="C244" s="1" t="str">
        <f>OBRA!CE583</f>
        <v>2021-2024</v>
      </c>
      <c r="D244" s="1">
        <f>OBRA!K583</f>
        <v>2021</v>
      </c>
      <c r="E244" s="1644" t="str">
        <f>OBRA!P583</f>
        <v>ADMINISTRACIÓN DIRECTA</v>
      </c>
      <c r="F244" s="1305" t="str">
        <f>OBRA!O583</f>
        <v>DOP/AD/001/2021</v>
      </c>
      <c r="G244" s="3" t="str">
        <f>OBRA!Q583</f>
        <v>CONSTRUCCIÓN DE AULA EN CASA DE LA CULTURA (PARA USO DE ARCHIVO MUERTO)" EN LA CABECERA MUNICIPAL DE JOCOTEPEC, JALISCO.</v>
      </c>
      <c r="H244" s="1644" t="s">
        <v>4761</v>
      </c>
      <c r="I244" s="3" t="str">
        <f>OBRA!R583</f>
        <v>CABECERA MUNICIPAL</v>
      </c>
      <c r="J244" s="3" t="s">
        <v>2503</v>
      </c>
      <c r="K244" s="3" t="s">
        <v>67</v>
      </c>
      <c r="L244" s="3" t="s">
        <v>67</v>
      </c>
      <c r="M244" s="1679">
        <f>OBRA!S583</f>
        <v>100000</v>
      </c>
      <c r="N244" s="243">
        <f>'ADMININSTRACIÓN DIR - OBRA'!AF585</f>
        <v>84</v>
      </c>
      <c r="O244" s="243" t="str">
        <f>'ADMININSTRACIÓN DIR - OBRA'!AG585</f>
        <v>M2</v>
      </c>
      <c r="P244" s="2" t="s">
        <v>67</v>
      </c>
      <c r="Q244" s="2"/>
    </row>
    <row r="245" spans="1:17" ht="45">
      <c r="A245" s="1"/>
      <c r="B245" s="1646"/>
      <c r="C245" s="1" t="str">
        <f>OBRA!CE584</f>
        <v>2021-2024</v>
      </c>
      <c r="D245" s="1">
        <f>OBRA!K584</f>
        <v>2021</v>
      </c>
      <c r="E245" s="1644" t="str">
        <f>OBRA!P584</f>
        <v>ADMINISTRACIÓN DIRECTA</v>
      </c>
      <c r="F245" s="1305" t="str">
        <f>OBRA!O584</f>
        <v>DOP/AD/002/2021</v>
      </c>
      <c r="G245" s="3" t="str">
        <f>OBRA!Q584</f>
        <v>"REHABILITACIÓN DE INMUEBLE PARA OFICINAS ADMINISTRATIVAS, ANTES ESCUELA PAULINO NAVARRO", EN LA CABECERA MUNICIPAL DE JOCOTEPEC, JALISCO.</v>
      </c>
      <c r="H245" s="1644" t="s">
        <v>4761</v>
      </c>
      <c r="I245" s="3" t="str">
        <f>OBRA!R584</f>
        <v>CABECERA MUNICIPAL</v>
      </c>
      <c r="J245" s="3" t="s">
        <v>4813</v>
      </c>
      <c r="K245" s="3" t="s">
        <v>67</v>
      </c>
      <c r="L245" s="3" t="s">
        <v>67</v>
      </c>
      <c r="M245" s="1679">
        <f>OBRA!S584</f>
        <v>400000</v>
      </c>
      <c r="N245" s="243">
        <f>'ADMININSTRACIÓN DIR - OBRA'!AF586</f>
        <v>0</v>
      </c>
      <c r="O245" s="243" t="str">
        <f>'ADMININSTRACIÓN DIR - OBRA'!AG586</f>
        <v>M2</v>
      </c>
      <c r="P245" s="2" t="s">
        <v>67</v>
      </c>
      <c r="Q245" s="2"/>
    </row>
    <row r="246" spans="1:17" ht="45" hidden="1">
      <c r="A246" s="1"/>
      <c r="B246" s="1"/>
      <c r="C246" s="1" t="str">
        <f>OBRA!CE585</f>
        <v>2021-2024</v>
      </c>
      <c r="D246" s="1">
        <f>OBRA!K585</f>
        <v>2021</v>
      </c>
      <c r="E246" s="1644" t="str">
        <f>OBRA!P585</f>
        <v>SERVICIOS</v>
      </c>
      <c r="F246" s="1644"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48">
        <f>OBRA!AT585+OBRA!AU585</f>
        <v>0</v>
      </c>
      <c r="N246" s="1">
        <f>'ADMININSTRACIÓN DIR - OBRA'!AF587</f>
        <v>1</v>
      </c>
      <c r="O246" s="1" t="str">
        <f>'ADMININSTRACIÓN DIR - OBRA'!AG587</f>
        <v>ESTUDIO</v>
      </c>
      <c r="P246" s="1"/>
      <c r="Q246" s="1"/>
    </row>
    <row r="247" spans="1:17" ht="45" hidden="1">
      <c r="A247" s="1"/>
      <c r="B247" s="1"/>
      <c r="C247" s="1" t="str">
        <f>OBRA!CE586</f>
        <v>2021-2024</v>
      </c>
      <c r="D247" s="1">
        <f>OBRA!K586</f>
        <v>2021</v>
      </c>
      <c r="E247" s="1644" t="str">
        <f>OBRA!P586</f>
        <v>SERVICIOS</v>
      </c>
      <c r="F247" s="1644"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48">
        <f>OBRA!AT586+OBRA!AU586</f>
        <v>0</v>
      </c>
      <c r="N247" s="1">
        <f>'ADMININSTRACIÓN DIR - OBRA'!AF588</f>
        <v>1</v>
      </c>
      <c r="O247" s="1" t="str">
        <f>'ADMININSTRACIÓN DIR - OBRA'!AG588</f>
        <v>LOTE</v>
      </c>
      <c r="P247" s="1"/>
      <c r="Q247" s="1"/>
    </row>
    <row r="248" spans="1:17" ht="120" hidden="1">
      <c r="A248" s="1"/>
      <c r="B248" s="1"/>
      <c r="C248" s="1" t="str">
        <f>OBRA!CE587</f>
        <v>2021-2024</v>
      </c>
      <c r="D248" s="1">
        <f>OBRA!K587</f>
        <v>2021</v>
      </c>
      <c r="E248" s="1644" t="str">
        <f>OBRA!P587</f>
        <v>SERVICIOS</v>
      </c>
      <c r="F248" s="1644"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48">
        <f>OBRA!AT587+OBRA!AU587</f>
        <v>0</v>
      </c>
      <c r="N248" s="1">
        <f>'ADMININSTRACIÓN DIR - OBRA'!AF589</f>
        <v>1</v>
      </c>
      <c r="O248" s="1" t="str">
        <f>'ADMININSTRACIÓN DIR - OBRA'!AG589</f>
        <v>LEV-TOP</v>
      </c>
      <c r="P248" s="1"/>
      <c r="Q248" s="1"/>
    </row>
    <row r="249" spans="1:17" ht="60" hidden="1">
      <c r="A249" s="1"/>
      <c r="B249" s="1"/>
      <c r="C249" s="1" t="str">
        <f>OBRA!CE588</f>
        <v>2021-2024</v>
      </c>
      <c r="D249" s="1">
        <f>OBRA!K588</f>
        <v>2021</v>
      </c>
      <c r="E249" s="1644" t="str">
        <f>OBRA!P588</f>
        <v>SERVICIOS</v>
      </c>
      <c r="F249" s="1644"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48">
        <f>OBRA!AT588+OBRA!AU588</f>
        <v>0</v>
      </c>
      <c r="N249" s="1">
        <f>'ADMININSTRACIÓN DIR - OBRA'!AF590</f>
        <v>1</v>
      </c>
      <c r="O249" s="1" t="str">
        <f>'ADMININSTRACIÓN DIR - OBRA'!AG590</f>
        <v>LOTE</v>
      </c>
      <c r="P249" s="1"/>
      <c r="Q249" s="1"/>
    </row>
    <row r="250" spans="1:17" ht="22.5" hidden="1">
      <c r="A250" s="1"/>
      <c r="B250" s="1"/>
      <c r="C250" s="1" t="str">
        <f>OBRA!CE589</f>
        <v>2021-2024</v>
      </c>
      <c r="D250" s="1">
        <f>OBRA!K589</f>
        <v>2021</v>
      </c>
      <c r="E250" s="1644" t="str">
        <f>OBRA!P589</f>
        <v>CANCELADA</v>
      </c>
      <c r="F250" s="1644" t="str">
        <f>OBRA!O589</f>
        <v>GMJ 001C- OP/2021</v>
      </c>
      <c r="G250" s="3" t="str">
        <f>OBRA!Q589</f>
        <v>CANCELADA</v>
      </c>
      <c r="H250" s="1"/>
      <c r="I250" s="3">
        <f>OBRA!R589</f>
        <v>0</v>
      </c>
      <c r="J250" s="3"/>
      <c r="K250" s="3"/>
      <c r="L250" s="3"/>
      <c r="M250" s="1648">
        <f>OBRA!AT589+OBRA!AU589</f>
        <v>0</v>
      </c>
      <c r="N250" s="1">
        <f>'ADMININSTRACIÓN DIR - OBRA'!AF591</f>
        <v>0</v>
      </c>
      <c r="O250" s="1">
        <f>'ADMININSTRACIÓN DIR - OBRA'!AG591</f>
        <v>0</v>
      </c>
      <c r="P250" s="1"/>
      <c r="Q250" s="1"/>
    </row>
    <row r="251" spans="1:17" ht="45">
      <c r="A251" s="1"/>
      <c r="B251" s="1646"/>
      <c r="C251" s="1" t="str">
        <f>OBRA!CE590</f>
        <v>2021-2024</v>
      </c>
      <c r="D251" s="1">
        <f>OBRA!K590</f>
        <v>2021</v>
      </c>
      <c r="E251" s="1644"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44" t="s">
        <v>4756</v>
      </c>
      <c r="I251" s="3" t="str">
        <f>OBRA!R590</f>
        <v>POTRERILLOS</v>
      </c>
      <c r="J251" s="3" t="s">
        <v>3149</v>
      </c>
      <c r="K251" s="3" t="s">
        <v>4723</v>
      </c>
      <c r="L251" s="3" t="s">
        <v>4807</v>
      </c>
      <c r="M251" s="1679">
        <f>OBRA!S590</f>
        <v>715198.43</v>
      </c>
      <c r="N251" s="243">
        <f>'ADMININSTRACIÓN DIR - OBRA'!AF592</f>
        <v>216</v>
      </c>
      <c r="O251" s="243" t="str">
        <f>'ADMININSTRACIÓN DIR - OBRA'!AG592</f>
        <v>ML</v>
      </c>
      <c r="P251" s="511"/>
      <c r="Q251" s="2"/>
    </row>
    <row r="252" spans="1:17" ht="102" customHeight="1">
      <c r="A252" s="1"/>
      <c r="B252" s="1646"/>
      <c r="C252" s="1" t="str">
        <f>OBRA!CE591</f>
        <v>2021-2024</v>
      </c>
      <c r="D252" s="1">
        <f>OBRA!K591</f>
        <v>2021</v>
      </c>
      <c r="E252" s="1644"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44" t="s">
        <v>4748</v>
      </c>
      <c r="I252" s="3" t="str">
        <f>OBRA!R591</f>
        <v>SAN JUAN COSALÁ</v>
      </c>
      <c r="J252" s="3" t="s">
        <v>4814</v>
      </c>
      <c r="K252" s="3" t="s">
        <v>67</v>
      </c>
      <c r="L252" s="3" t="s">
        <v>67</v>
      </c>
      <c r="M252" s="1648">
        <f>OBRA!AT591+OBRA!AU591</f>
        <v>347130.34</v>
      </c>
      <c r="N252" s="243">
        <f>'ADMININSTRACIÓN DIR - OBRA'!AF593</f>
        <v>436</v>
      </c>
      <c r="O252" s="243" t="str">
        <f>'ADMININSTRACIÓN DIR - OBRA'!AG593</f>
        <v>ML</v>
      </c>
      <c r="P252" s="2" t="s">
        <v>4942</v>
      </c>
      <c r="Q252" s="2"/>
    </row>
    <row r="253" spans="1:17" ht="95.25" customHeight="1">
      <c r="A253" s="1"/>
      <c r="B253" s="1646"/>
      <c r="C253" s="1" t="str">
        <f>OBRA!CE592</f>
        <v>2021-2024</v>
      </c>
      <c r="D253" s="1">
        <f>OBRA!K592</f>
        <v>2021</v>
      </c>
      <c r="E253" s="1644"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44" t="s">
        <v>4750</v>
      </c>
      <c r="I253" s="3" t="str">
        <f>OBRA!R592</f>
        <v>SAN JUAN COSALÁ</v>
      </c>
      <c r="J253" s="3" t="s">
        <v>4814</v>
      </c>
      <c r="K253" s="3" t="s">
        <v>67</v>
      </c>
      <c r="L253" s="3" t="s">
        <v>67</v>
      </c>
      <c r="M253" s="1648">
        <f>OBRA!AT592+OBRA!AU592</f>
        <v>791064.19</v>
      </c>
      <c r="N253" s="243">
        <f>'ADMININSTRACIÓN DIR - OBRA'!AF594</f>
        <v>510.53</v>
      </c>
      <c r="O253" s="243" t="str">
        <f>'ADMININSTRACIÓN DIR - OBRA'!AG594</f>
        <v>ML</v>
      </c>
      <c r="P253" s="2" t="s">
        <v>4943</v>
      </c>
      <c r="Q253" s="2"/>
    </row>
    <row r="254" spans="1:17" ht="63.75" customHeight="1">
      <c r="A254" s="1"/>
      <c r="B254" s="1646"/>
      <c r="C254" s="1" t="str">
        <f>OBRA!CE593</f>
        <v>2021-2024</v>
      </c>
      <c r="D254" s="1">
        <f>OBRA!K593</f>
        <v>2021</v>
      </c>
      <c r="E254" s="1644" t="str">
        <f>OBRA!P593</f>
        <v>ADJUDICACIÓN DIRECTA</v>
      </c>
      <c r="F254" s="1305" t="str">
        <f>OBRA!O593</f>
        <v>GMJ 005C- OP/2021</v>
      </c>
      <c r="G254" s="3" t="str">
        <f>OBRA!Q593</f>
        <v>"CONSTRUCCIÓN DE BANQUETAS EN CALLE LAZARO CÁRDENAS ENTRE C. VERANO Y C. INVIERNO" EN LA CABECERA MUNICIPAL DE JOCOTEPEC, JALISCO.</v>
      </c>
      <c r="H254" s="1644" t="s">
        <v>4751</v>
      </c>
      <c r="I254" s="3" t="str">
        <f>OBRA!R593</f>
        <v>CABECERA MUNICIPAL</v>
      </c>
      <c r="J254" s="3" t="s">
        <v>4686</v>
      </c>
      <c r="K254" s="3" t="s">
        <v>2545</v>
      </c>
      <c r="L254" s="3" t="s">
        <v>2700</v>
      </c>
      <c r="M254" s="1648">
        <f>OBRA!AT593+OBRA!AU593</f>
        <v>100144.26</v>
      </c>
      <c r="N254" s="243">
        <f>'ADMININSTRACIÓN DIR - OBRA'!AF595</f>
        <v>155.30000000000001</v>
      </c>
      <c r="O254" s="243" t="str">
        <f>'ADMININSTRACIÓN DIR - OBRA'!AG595</f>
        <v>M2</v>
      </c>
      <c r="P254" s="2" t="s">
        <v>4944</v>
      </c>
      <c r="Q254" s="2"/>
    </row>
    <row r="255" spans="1:17" ht="76.5" customHeight="1">
      <c r="A255" s="1"/>
      <c r="B255" s="1646"/>
      <c r="C255" s="1" t="str">
        <f>OBRA!CE594</f>
        <v>2021-2024</v>
      </c>
      <c r="D255" s="1">
        <f>OBRA!K594</f>
        <v>2021</v>
      </c>
      <c r="E255" s="1644"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44" t="s">
        <v>4748</v>
      </c>
      <c r="I255" s="3" t="str">
        <f>OBRA!R594</f>
        <v>SAN JUAN COSALÁ</v>
      </c>
      <c r="J255" s="3" t="s">
        <v>2639</v>
      </c>
      <c r="K255" s="3" t="s">
        <v>2622</v>
      </c>
      <c r="L255" s="3" t="s">
        <v>4774</v>
      </c>
      <c r="M255" s="1648">
        <f>OBRA!AT594+OBRA!AU594</f>
        <v>252763.45</v>
      </c>
      <c r="N255" s="243">
        <f>'ADMININSTRACIÓN DIR - OBRA'!AF596</f>
        <v>160</v>
      </c>
      <c r="O255" s="243" t="str">
        <f>'ADMININSTRACIÓN DIR - OBRA'!AG596</f>
        <v>ML</v>
      </c>
      <c r="P255" s="2" t="s">
        <v>4945</v>
      </c>
      <c r="Q255" s="2"/>
    </row>
    <row r="256" spans="1:17" ht="71.25" customHeight="1">
      <c r="A256" s="1"/>
      <c r="B256" s="1646"/>
      <c r="C256" s="1" t="str">
        <f>OBRA!CE595</f>
        <v>2021-2024</v>
      </c>
      <c r="D256" s="1">
        <f>OBRA!K595</f>
        <v>2021</v>
      </c>
      <c r="E256" s="1644"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44" t="s">
        <v>4748</v>
      </c>
      <c r="I256" s="3" t="str">
        <f>OBRA!R595</f>
        <v>CHANTEPEC</v>
      </c>
      <c r="J256" s="3" t="s">
        <v>2569</v>
      </c>
      <c r="K256" s="3" t="s">
        <v>2491</v>
      </c>
      <c r="L256" s="3" t="s">
        <v>4076</v>
      </c>
      <c r="M256" s="1648">
        <f>OBRA!AT595+OBRA!AU595</f>
        <v>347130.35</v>
      </c>
      <c r="N256" s="243">
        <f>'ADMININSTRACIÓN DIR - OBRA'!AF597</f>
        <v>324.42</v>
      </c>
      <c r="O256" s="243" t="str">
        <f>'ADMININSTRACIÓN DIR - OBRA'!AG597</f>
        <v>ML</v>
      </c>
      <c r="P256" s="2" t="s">
        <v>4946</v>
      </c>
      <c r="Q256" s="2"/>
    </row>
    <row r="257" spans="1:17" ht="45" customHeight="1">
      <c r="A257" s="1"/>
      <c r="B257" s="1646"/>
      <c r="C257" s="1" t="str">
        <f>OBRA!CE596</f>
        <v>2021-2024</v>
      </c>
      <c r="D257" s="1">
        <f>OBRA!K596</f>
        <v>2022</v>
      </c>
      <c r="E257" s="1644" t="str">
        <f>OBRA!P596</f>
        <v>ADMINISTRACIÓN DIRECTA</v>
      </c>
      <c r="F257" s="1305" t="str">
        <f>OBRA!O596</f>
        <v>DOP/AD/001/2022</v>
      </c>
      <c r="G257" s="3" t="str">
        <f>OBRA!Q596</f>
        <v>CUARTO DE EMERGENCIA PARA MUJERES EN SITUACIÓN DE VIOLENCIA EXTREMA…</v>
      </c>
      <c r="H257" s="1644" t="s">
        <v>4761</v>
      </c>
      <c r="I257" s="3" t="str">
        <f>OBRA!R596</f>
        <v>-</v>
      </c>
      <c r="J257" s="3" t="s">
        <v>67</v>
      </c>
      <c r="K257" s="3" t="s">
        <v>67</v>
      </c>
      <c r="L257" s="3" t="s">
        <v>67</v>
      </c>
      <c r="M257" s="1679">
        <f>OBRA!S596</f>
        <v>70000</v>
      </c>
      <c r="N257" s="243">
        <f>'ADMININSTRACIÓN DIR - OBRA'!AF598</f>
        <v>0</v>
      </c>
      <c r="O257" s="243" t="str">
        <f>'ADMININSTRACIÓN DIR - OBRA'!AG598</f>
        <v>M2</v>
      </c>
      <c r="P257" s="2" t="s">
        <v>67</v>
      </c>
      <c r="Q257" s="1161"/>
    </row>
    <row r="258" spans="1:17" ht="63" customHeight="1">
      <c r="A258" s="1"/>
      <c r="B258" s="1646"/>
      <c r="C258" s="1" t="str">
        <f>OBRA!CE597</f>
        <v>2021-2024</v>
      </c>
      <c r="D258" s="1">
        <f>OBRA!K597</f>
        <v>2022</v>
      </c>
      <c r="E258" s="1644" t="str">
        <f>OBRA!P597</f>
        <v>ADMINISTRACIÓN DIRECTA</v>
      </c>
      <c r="F258" s="1305" t="str">
        <f>OBRA!O597</f>
        <v>DOP/AD/002/2022</v>
      </c>
      <c r="G258" s="3" t="str">
        <f>OBRA!Q597</f>
        <v>"CONSTRUCCIÓN DE BANQUETAS EN EL PUENTE 20 DE NOVIEMBRE", EN LA LOCALIDAD DE ZAPOTITÁN DE HIDALGO, DEL MUNICIPIO DE JOCOTEPEC, JALISCO.</v>
      </c>
      <c r="H258" s="1644" t="s">
        <v>4751</v>
      </c>
      <c r="I258" s="3" t="str">
        <f>OBRA!R597</f>
        <v>ZAPOTITÁN DE HIDALGO</v>
      </c>
      <c r="J258" s="3" t="s">
        <v>2690</v>
      </c>
      <c r="K258" s="3" t="s">
        <v>4815</v>
      </c>
      <c r="L258" s="3" t="s">
        <v>67</v>
      </c>
      <c r="M258" s="1679">
        <f>OBRA!S597</f>
        <v>60152.28</v>
      </c>
      <c r="N258" s="243">
        <f>'ADMININSTRACIÓN DIR - OBRA'!AF599</f>
        <v>70.05</v>
      </c>
      <c r="O258" s="243" t="str">
        <f>'ADMININSTRACIÓN DIR - OBRA'!AG599</f>
        <v>M2</v>
      </c>
      <c r="P258" s="2" t="s">
        <v>4906</v>
      </c>
      <c r="Q258" s="1161"/>
    </row>
    <row r="259" spans="1:17" ht="86.25" customHeight="1">
      <c r="A259" s="1"/>
      <c r="B259" s="1646"/>
      <c r="C259" s="1" t="str">
        <f>OBRA!CE598</f>
        <v>2021-2024</v>
      </c>
      <c r="D259" s="1">
        <f>OBRA!K598</f>
        <v>2022</v>
      </c>
      <c r="E259" s="1644"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44" t="s">
        <v>4761</v>
      </c>
      <c r="I259" s="3" t="str">
        <f>OBRA!R598</f>
        <v>SAN JUAN COSALÁ</v>
      </c>
      <c r="J259" s="3" t="s">
        <v>4891</v>
      </c>
      <c r="K259" s="3" t="s">
        <v>2538</v>
      </c>
      <c r="L259" s="3" t="s">
        <v>4770</v>
      </c>
      <c r="M259" s="1679">
        <f>OBRA!S598</f>
        <v>81200</v>
      </c>
      <c r="N259" s="243">
        <f>'ADMININSTRACIÓN DIR - OBRA'!AF600</f>
        <v>67</v>
      </c>
      <c r="O259" s="243" t="str">
        <f>'ADMININSTRACIÓN DIR - OBRA'!AG600</f>
        <v>M2</v>
      </c>
      <c r="P259" s="2" t="s">
        <v>67</v>
      </c>
      <c r="Q259" s="1161"/>
    </row>
    <row r="260" spans="1:17" ht="60">
      <c r="A260" s="1"/>
      <c r="B260" s="1646"/>
      <c r="C260" s="1" t="str">
        <f>OBRA!CE599</f>
        <v>2021-2024</v>
      </c>
      <c r="D260" s="1">
        <f>OBRA!K599</f>
        <v>2022</v>
      </c>
      <c r="E260" s="1644"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44" t="s">
        <v>4748</v>
      </c>
      <c r="I260" s="3" t="str">
        <f>OBRA!R599</f>
        <v>NEXTIPAC</v>
      </c>
      <c r="J260" s="3" t="s">
        <v>4700</v>
      </c>
      <c r="K260" s="3" t="s">
        <v>4713</v>
      </c>
      <c r="L260" s="3" t="s">
        <v>4023</v>
      </c>
      <c r="M260" s="1679">
        <f>OBRA!S599</f>
        <v>330190.86</v>
      </c>
      <c r="N260" s="1680">
        <f>'ADMININSTRACIÓN DIR - OBRA'!AF601</f>
        <v>666</v>
      </c>
      <c r="O260" s="1680" t="str">
        <f>'ADMININSTRACIÓN DIR - OBRA'!AG601</f>
        <v>ML</v>
      </c>
      <c r="P260" s="2" t="s">
        <v>67</v>
      </c>
      <c r="Q260" s="1161"/>
    </row>
    <row r="261" spans="1:17" ht="63" customHeight="1">
      <c r="A261" s="1"/>
      <c r="B261" s="1646"/>
      <c r="C261" s="1" t="str">
        <f>OBRA!CE600</f>
        <v>2021-2024</v>
      </c>
      <c r="D261" s="1">
        <f>OBRA!K600</f>
        <v>2022</v>
      </c>
      <c r="E261" s="1644" t="str">
        <f>OBRA!P600</f>
        <v>ADMINISTRACIÓN DIRECTA</v>
      </c>
      <c r="F261" s="1305" t="str">
        <f>OBRA!O600</f>
        <v>DOP/AD/005/2022</v>
      </c>
      <c r="G261" s="3" t="str">
        <f>OBRA!Q600</f>
        <v>"CONSTRUCCIÓN DE SUPERFICIE DE RODAMIENTO EN CALLE 12 DE OCTUBRE", EN LA LOCALIDAD DE SAN PEDRO TESISTÁN, DEL MUNICIPIO DE JOCOTEPEC, JALISCO</v>
      </c>
      <c r="H261" s="1644" t="s">
        <v>4755</v>
      </c>
      <c r="I261" s="3" t="str">
        <f>OBRA!R600</f>
        <v>SAN PEDRO TESISTÁN</v>
      </c>
      <c r="J261" s="3" t="s">
        <v>2612</v>
      </c>
      <c r="K261" s="3" t="s">
        <v>4769</v>
      </c>
      <c r="L261" s="3" t="s">
        <v>67</v>
      </c>
      <c r="M261" s="1679">
        <f>OBRA!S600</f>
        <v>86073.66</v>
      </c>
      <c r="N261" s="220">
        <f>'ADMININSTRACIÓN DIR - OBRA'!AF602</f>
        <v>134</v>
      </c>
      <c r="O261" s="1" t="str">
        <f>'ADMININSTRACIÓN DIR - OBRA'!AG602</f>
        <v>M2</v>
      </c>
      <c r="P261" s="2" t="s">
        <v>4905</v>
      </c>
      <c r="Q261" s="1161"/>
    </row>
    <row r="262" spans="1:17" ht="61.5" customHeight="1">
      <c r="A262" s="1"/>
      <c r="B262" s="1646"/>
      <c r="C262" s="1" t="str">
        <f>OBRA!CE601</f>
        <v>2021-2024</v>
      </c>
      <c r="D262" s="1">
        <f>OBRA!K601</f>
        <v>2022</v>
      </c>
      <c r="E262" s="1644" t="str">
        <f>OBRA!P601</f>
        <v>ADMINISTRACIÓN DIRECTA</v>
      </c>
      <c r="F262" s="1305" t="str">
        <f>OBRA!O601</f>
        <v>DOP/AD/006/2022</v>
      </c>
      <c r="G262" s="3" t="str">
        <f>OBRA!Q601</f>
        <v>"CONSTRUCCIÓN DE SUPERFICIE DE RODAMIENTO EN CALLE LIBERTAD", EN LA LOCALIDAD DE SAN PEDRO TESISTÁN, DEL MUNICIPIO DE JOCOTEPEC, JALISCO</v>
      </c>
      <c r="H262" s="1644" t="s">
        <v>4755</v>
      </c>
      <c r="I262" s="3" t="str">
        <f>OBRA!R601</f>
        <v>SAN PEDRO TESISTÁN</v>
      </c>
      <c r="J262" s="3" t="s">
        <v>3149</v>
      </c>
      <c r="K262" s="3" t="s">
        <v>4769</v>
      </c>
      <c r="L262" s="3" t="s">
        <v>67</v>
      </c>
      <c r="M262" s="1679">
        <f>OBRA!S601</f>
        <v>109829.72</v>
      </c>
      <c r="N262" s="220">
        <f>'ADMININSTRACIÓN DIR - OBRA'!AF603</f>
        <v>210.5</v>
      </c>
      <c r="O262" s="1" t="str">
        <f>'ADMININSTRACIÓN DIR - OBRA'!AG603</f>
        <v>M2</v>
      </c>
      <c r="P262" s="2" t="s">
        <v>4905</v>
      </c>
      <c r="Q262" s="1161"/>
    </row>
    <row r="263" spans="1:17" ht="30" hidden="1">
      <c r="A263" s="1"/>
      <c r="B263" s="1646"/>
      <c r="C263" s="1" t="str">
        <f>OBRA!CE602</f>
        <v>2021-2024</v>
      </c>
      <c r="D263" s="1">
        <f>OBRA!K602</f>
        <v>2022</v>
      </c>
      <c r="E263" s="1644" t="str">
        <f>OBRA!P602</f>
        <v>MANTENIMIENTOS</v>
      </c>
      <c r="F263" s="1305" t="str">
        <f>OBRA!O602</f>
        <v>MANTENIMIENTOS</v>
      </c>
      <c r="G263" s="3" t="str">
        <f>OBRA!Q602</f>
        <v>REMODELACIÓN DE PRESIDENCIA</v>
      </c>
      <c r="H263" s="1644"/>
      <c r="I263" s="3" t="str">
        <f>OBRA!R602</f>
        <v>CABECERA MUNICIPAL</v>
      </c>
      <c r="J263" s="3"/>
      <c r="K263" s="3"/>
      <c r="L263" s="3"/>
      <c r="M263" s="1679">
        <f>OBRA!S602</f>
        <v>0</v>
      </c>
      <c r="N263" s="1680">
        <f>'ADMININSTRACIÓN DIR - OBRA'!AF604</f>
        <v>0</v>
      </c>
      <c r="O263" s="1680">
        <f>'ADMININSTRACIÓN DIR - OBRA'!AG604</f>
        <v>0</v>
      </c>
      <c r="P263" s="2" t="s">
        <v>67</v>
      </c>
      <c r="Q263" s="1161"/>
    </row>
    <row r="264" spans="1:17" ht="30">
      <c r="A264" s="1"/>
      <c r="B264" s="1646"/>
      <c r="C264" s="1" t="str">
        <f>OBRA!CE603</f>
        <v>2021-2024</v>
      </c>
      <c r="D264" s="1">
        <f>OBRA!K603</f>
        <v>2022</v>
      </c>
      <c r="E264" s="1644" t="str">
        <f>OBRA!P603</f>
        <v>ADMINISTRACIÓN DIRECTA</v>
      </c>
      <c r="F264" s="1305" t="str">
        <f>OBRA!O603</f>
        <v>DOP/AD/007/2022</v>
      </c>
      <c r="G264" s="3" t="str">
        <f>OBRA!Q603</f>
        <v>“CONSTRUCCIÓN DE BAÑOS PÚBLICOS”, EN LA LOCALIDAD DE EL MOLINO, DEL MUNICIPIO DE JOCOTEPEC, JALISCO</v>
      </c>
      <c r="H264" s="1644" t="s">
        <v>5411</v>
      </c>
      <c r="I264" s="3" t="str">
        <f>OBRA!R603</f>
        <v>EL MOLINO</v>
      </c>
      <c r="J264" s="3" t="s">
        <v>2622</v>
      </c>
      <c r="K264" s="3" t="s">
        <v>5414</v>
      </c>
      <c r="L264" s="3" t="s">
        <v>5415</v>
      </c>
      <c r="M264" s="1679">
        <f>OBRA!S603</f>
        <v>297707.86</v>
      </c>
      <c r="N264" s="1680">
        <f>'ADMININSTRACIÓN DIR - OBRA'!AF605</f>
        <v>20.82</v>
      </c>
      <c r="O264" s="1680" t="str">
        <f>'ADMININSTRACIÓN DIR - OBRA'!AG605</f>
        <v>M2</v>
      </c>
      <c r="P264" s="2" t="s">
        <v>67</v>
      </c>
      <c r="Q264" s="1161"/>
    </row>
    <row r="265" spans="1:17" ht="30" hidden="1">
      <c r="A265" s="1"/>
      <c r="B265" s="1646"/>
      <c r="C265" s="1" t="str">
        <f>OBRA!CE604</f>
        <v>2021-2024</v>
      </c>
      <c r="D265" s="1">
        <f>OBRA!K604</f>
        <v>2022</v>
      </c>
      <c r="E265" s="1644" t="str">
        <f>OBRA!P604</f>
        <v>ADMINISTRACIÓN DIRECTA</v>
      </c>
      <c r="F265" s="1305" t="str">
        <f>OBRA!O604</f>
        <v>DOP/AD/001-B/2022</v>
      </c>
      <c r="G265" s="3" t="str">
        <f>OBRA!Q604</f>
        <v>"REMODELACIÓN DE PRESIDENCIA (2DA ETAPA)", EN LA CABECERA MUNICIPAL DE JOCOTEPEC.</v>
      </c>
      <c r="H265" s="1644"/>
      <c r="I265" s="3" t="str">
        <f>OBRA!R604</f>
        <v>CABECERA MUNICIPAL</v>
      </c>
      <c r="J265" s="3"/>
      <c r="K265" s="3"/>
      <c r="L265" s="3"/>
      <c r="M265" s="1679">
        <f>OBRA!S604</f>
        <v>800000</v>
      </c>
      <c r="N265" s="1680">
        <f>'ADMININSTRACIÓN DIR - OBRA'!AF606</f>
        <v>0</v>
      </c>
      <c r="O265" s="1680">
        <f>'ADMININSTRACIÓN DIR - OBRA'!AG606</f>
        <v>0</v>
      </c>
      <c r="P265" s="2" t="s">
        <v>67</v>
      </c>
      <c r="Q265" s="1161"/>
    </row>
    <row r="266" spans="1:17" ht="25.5" hidden="1">
      <c r="A266" s="1"/>
      <c r="B266" s="1646"/>
      <c r="C266" s="1" t="str">
        <f>OBRA!CE605</f>
        <v>2021-2024</v>
      </c>
      <c r="D266" s="1">
        <f>OBRA!K605</f>
        <v>2022</v>
      </c>
      <c r="E266" s="1644" t="str">
        <f>OBRA!P605</f>
        <v>CANCELADA</v>
      </c>
      <c r="F266" s="1305" t="str">
        <f>OBRA!O605</f>
        <v>DOP/AD/010/2022</v>
      </c>
      <c r="G266" s="3" t="str">
        <f>OBRA!Q605</f>
        <v>-</v>
      </c>
      <c r="H266" s="1644"/>
      <c r="I266" s="3">
        <f>OBRA!R605</f>
        <v>0</v>
      </c>
      <c r="J266" s="3"/>
      <c r="K266" s="3"/>
      <c r="L266" s="3"/>
      <c r="M266" s="1679" t="str">
        <f>OBRA!S605</f>
        <v>|</v>
      </c>
      <c r="N266" s="1680">
        <f>'ADMININSTRACIÓN DIR - OBRA'!AF607</f>
        <v>0</v>
      </c>
      <c r="O266" s="1680">
        <f>'ADMININSTRACIÓN DIR - OBRA'!AG607</f>
        <v>0</v>
      </c>
      <c r="P266" s="2" t="s">
        <v>67</v>
      </c>
      <c r="Q266" s="1161"/>
    </row>
    <row r="267" spans="1:17" ht="120" hidden="1">
      <c r="A267" s="1"/>
      <c r="B267" s="1"/>
      <c r="C267" s="1" t="str">
        <f>OBRA!CE606</f>
        <v>2021-2024</v>
      </c>
      <c r="D267" s="1">
        <f>OBRA!K606</f>
        <v>2022</v>
      </c>
      <c r="E267" s="1644" t="str">
        <f>OBRA!P606</f>
        <v xml:space="preserve">SERVICIOS </v>
      </c>
      <c r="F267" s="1644"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48">
        <f>OBRA!AT606+OBRA!AU606</f>
        <v>0</v>
      </c>
      <c r="N267" s="1">
        <f>'ADMININSTRACIÓN DIR - OBRA'!AF608</f>
        <v>4</v>
      </c>
      <c r="O267" s="1" t="str">
        <f>'ADMININSTRACIÓN DIR - OBRA'!AG608</f>
        <v>ESTUDIO</v>
      </c>
      <c r="P267" s="1"/>
      <c r="Q267" s="1"/>
    </row>
    <row r="268" spans="1:17" ht="120" hidden="1">
      <c r="A268" s="1"/>
      <c r="B268" s="1"/>
      <c r="C268" s="1" t="str">
        <f>OBRA!CE607</f>
        <v>2021-2024</v>
      </c>
      <c r="D268" s="1">
        <f>OBRA!K607</f>
        <v>2022</v>
      </c>
      <c r="E268" s="1644" t="str">
        <f>OBRA!P607</f>
        <v>SERVICIOS (CANCELADO)</v>
      </c>
      <c r="F268" s="1644"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48">
        <f>OBRA!AT607+OBRA!AU607</f>
        <v>0</v>
      </c>
      <c r="N268" s="1">
        <f>'ADMININSTRACIÓN DIR - OBRA'!AF609</f>
        <v>0</v>
      </c>
      <c r="O268" s="1">
        <f>'ADMININSTRACIÓN DIR - OBRA'!AG609</f>
        <v>0</v>
      </c>
      <c r="P268" s="1"/>
      <c r="Q268" s="1"/>
    </row>
    <row r="269" spans="1:17" ht="120" hidden="1">
      <c r="A269" s="1"/>
      <c r="B269" s="1"/>
      <c r="C269" s="1" t="str">
        <f>OBRA!CE608</f>
        <v>2021-2024</v>
      </c>
      <c r="D269" s="1">
        <f>OBRA!K608</f>
        <v>2022</v>
      </c>
      <c r="E269" s="1644" t="str">
        <f>OBRA!P608</f>
        <v xml:space="preserve">SERVICIOS </v>
      </c>
      <c r="F269" s="1644"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48">
        <f>OBRA!AT608+OBRA!AU608</f>
        <v>0</v>
      </c>
      <c r="N269" s="1">
        <f>'ADMININSTRACIÓN DIR - OBRA'!AF610</f>
        <v>9</v>
      </c>
      <c r="O269" s="1" t="str">
        <f>'ADMININSTRACIÓN DIR - OBRA'!AG610</f>
        <v>PIEZAS</v>
      </c>
      <c r="P269" s="1"/>
      <c r="Q269" s="1"/>
    </row>
    <row r="270" spans="1:17" ht="60" hidden="1">
      <c r="A270" s="1"/>
      <c r="B270" s="1"/>
      <c r="C270" s="1" t="str">
        <f>OBRA!CE609</f>
        <v>2021-2024</v>
      </c>
      <c r="D270" s="1">
        <f>OBRA!K609</f>
        <v>2022</v>
      </c>
      <c r="E270" s="1644" t="str">
        <f>OBRA!P609</f>
        <v xml:space="preserve">SERVICIOS </v>
      </c>
      <c r="F270" s="1644"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48">
        <f>OBRA!AT609+OBRA!AU609</f>
        <v>0</v>
      </c>
      <c r="N270" s="1">
        <f>'ADMININSTRACIÓN DIR - OBRA'!AF611</f>
        <v>1</v>
      </c>
      <c r="O270" s="1" t="str">
        <f>'ADMININSTRACIÓN DIR - OBRA'!AG611</f>
        <v>LEV-TOP</v>
      </c>
      <c r="P270" s="1"/>
      <c r="Q270" s="1"/>
    </row>
    <row r="271" spans="1:17" ht="22.5" hidden="1">
      <c r="A271" s="1"/>
      <c r="B271" s="1"/>
      <c r="C271" s="1" t="str">
        <f>OBRA!CE610</f>
        <v>2021-2024</v>
      </c>
      <c r="D271" s="1">
        <f>OBRA!K610</f>
        <v>2022</v>
      </c>
      <c r="E271" s="1644" t="str">
        <f>OBRA!P610</f>
        <v>CANCELADA</v>
      </c>
      <c r="F271" s="1644" t="str">
        <f>OBRA!O610</f>
        <v>CPSP DOP 005/2022</v>
      </c>
      <c r="G271" s="3" t="str">
        <f>OBRA!Q610</f>
        <v>-</v>
      </c>
      <c r="H271" s="1"/>
      <c r="I271" s="3">
        <f>OBRA!R610</f>
        <v>0</v>
      </c>
      <c r="J271" s="3"/>
      <c r="K271" s="3"/>
      <c r="L271" s="3"/>
      <c r="M271" s="1648">
        <f>OBRA!AT610+OBRA!AU610</f>
        <v>0</v>
      </c>
      <c r="N271" s="1">
        <f>'ADMININSTRACIÓN DIR - OBRA'!AF612</f>
        <v>0</v>
      </c>
      <c r="O271" s="1">
        <f>'ADMININSTRACIÓN DIR - OBRA'!AG612</f>
        <v>0</v>
      </c>
      <c r="P271" s="1"/>
      <c r="Q271" s="1"/>
    </row>
    <row r="272" spans="1:17" ht="45" hidden="1">
      <c r="A272" s="1"/>
      <c r="B272" s="1"/>
      <c r="C272" s="1" t="str">
        <f>OBRA!CE611</f>
        <v>2021-2024</v>
      </c>
      <c r="D272" s="1">
        <f>OBRA!K611</f>
        <v>2022</v>
      </c>
      <c r="E272" s="1644" t="str">
        <f>OBRA!P611</f>
        <v xml:space="preserve">SERVICIOS </v>
      </c>
      <c r="F272" s="1644"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48">
        <f>OBRA!AT611+OBRA!AU611</f>
        <v>0</v>
      </c>
      <c r="N272" s="1">
        <f>'ADMININSTRACIÓN DIR - OBRA'!AF613</f>
        <v>1</v>
      </c>
      <c r="O272" s="1" t="str">
        <f>'ADMININSTRACIÓN DIR - OBRA'!AG613</f>
        <v>LEV-TOP</v>
      </c>
      <c r="P272" s="1"/>
      <c r="Q272" s="1"/>
    </row>
    <row r="273" spans="1:17" ht="22.5" hidden="1">
      <c r="A273" s="1"/>
      <c r="B273" s="1"/>
      <c r="C273" s="1" t="str">
        <f>OBRA!CE612</f>
        <v>2021-2024</v>
      </c>
      <c r="D273" s="1">
        <f>OBRA!K612</f>
        <v>2022</v>
      </c>
      <c r="E273" s="1644" t="str">
        <f>OBRA!P612</f>
        <v>CANCELADA</v>
      </c>
      <c r="F273" s="1644" t="str">
        <f>OBRA!O612</f>
        <v>CPSP DOP 007/2022</v>
      </c>
      <c r="G273" s="3" t="str">
        <f>OBRA!Q612</f>
        <v>-</v>
      </c>
      <c r="H273" s="1"/>
      <c r="I273" s="3">
        <f>OBRA!R612</f>
        <v>0</v>
      </c>
      <c r="J273" s="3"/>
      <c r="K273" s="3"/>
      <c r="L273" s="3"/>
      <c r="M273" s="1648">
        <f>OBRA!AT612+OBRA!AU612</f>
        <v>0</v>
      </c>
      <c r="N273" s="1">
        <f>'ADMININSTRACIÓN DIR - OBRA'!AF614</f>
        <v>0</v>
      </c>
      <c r="O273" s="1">
        <f>'ADMININSTRACIÓN DIR - OBRA'!AG614</f>
        <v>0</v>
      </c>
      <c r="P273" s="1"/>
      <c r="Q273" s="1"/>
    </row>
    <row r="274" spans="1:17" ht="45" hidden="1">
      <c r="A274" s="1"/>
      <c r="B274" s="1"/>
      <c r="C274" s="1" t="str">
        <f>OBRA!CE613</f>
        <v>2021-2024</v>
      </c>
      <c r="D274" s="1">
        <f>OBRA!K613</f>
        <v>2022</v>
      </c>
      <c r="E274" s="1644" t="str">
        <f>OBRA!P613</f>
        <v xml:space="preserve">SERVICIOS </v>
      </c>
      <c r="F274" s="1644"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48">
        <f>OBRA!AT613+OBRA!AU613</f>
        <v>0</v>
      </c>
      <c r="N274" s="1">
        <f>'ADMININSTRACIÓN DIR - OBRA'!AF615</f>
        <v>1</v>
      </c>
      <c r="O274" s="1" t="str">
        <f>'ADMININSTRACIÓN DIR - OBRA'!AG615</f>
        <v>LEV-TOP</v>
      </c>
      <c r="P274" s="1"/>
      <c r="Q274" s="1"/>
    </row>
    <row r="275" spans="1:17" ht="60" hidden="1">
      <c r="A275" s="1"/>
      <c r="B275" s="1"/>
      <c r="C275" s="1" t="str">
        <f>OBRA!CE614</f>
        <v>2021-2024</v>
      </c>
      <c r="D275" s="1">
        <f>OBRA!K614</f>
        <v>2022</v>
      </c>
      <c r="E275" s="1644" t="str">
        <f>OBRA!P614</f>
        <v xml:space="preserve">SERVICIOS </v>
      </c>
      <c r="F275" s="1644"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48">
        <f>OBRA!AT614+OBRA!AU614</f>
        <v>0</v>
      </c>
      <c r="N275" s="1">
        <f>'ADMININSTRACIÓN DIR - OBRA'!AF616</f>
        <v>1</v>
      </c>
      <c r="O275" s="1" t="str">
        <f>'ADMININSTRACIÓN DIR - OBRA'!AG616</f>
        <v>LOTE</v>
      </c>
      <c r="P275" s="1"/>
      <c r="Q275" s="1"/>
    </row>
    <row r="276" spans="1:17" ht="60" hidden="1">
      <c r="A276" s="1"/>
      <c r="B276" s="1"/>
      <c r="C276" s="1" t="str">
        <f>OBRA!CE615</f>
        <v>2021-2024</v>
      </c>
      <c r="D276" s="1">
        <f>OBRA!K615</f>
        <v>2022</v>
      </c>
      <c r="E276" s="1644" t="str">
        <f>OBRA!P615</f>
        <v xml:space="preserve">SERVICIOS </v>
      </c>
      <c r="F276" s="1644"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48">
        <f>OBRA!AT615+OBRA!AU615</f>
        <v>0</v>
      </c>
      <c r="N276" s="1">
        <f>'ADMININSTRACIÓN DIR - OBRA'!AF617</f>
        <v>1</v>
      </c>
      <c r="O276" s="1" t="str">
        <f>'ADMININSTRACIÓN DIR - OBRA'!AG617</f>
        <v>LOTE</v>
      </c>
      <c r="P276" s="1"/>
      <c r="Q276" s="1"/>
    </row>
    <row r="277" spans="1:17" ht="60" hidden="1">
      <c r="A277" s="1"/>
      <c r="B277" s="1"/>
      <c r="C277" s="1" t="str">
        <f>OBRA!CE616</f>
        <v>2021-2024</v>
      </c>
      <c r="D277" s="1">
        <f>OBRA!K616</f>
        <v>2022</v>
      </c>
      <c r="E277" s="1644" t="str">
        <f>OBRA!P616</f>
        <v xml:space="preserve">SERVICIOS </v>
      </c>
      <c r="F277" s="1644"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48">
        <f>OBRA!AT616+OBRA!AU616</f>
        <v>0</v>
      </c>
      <c r="N277" s="1">
        <f>'ADMININSTRACIÓN DIR - OBRA'!AF618</f>
        <v>1</v>
      </c>
      <c r="O277" s="1" t="str">
        <f>'ADMININSTRACIÓN DIR - OBRA'!AG618</f>
        <v>ESTUDIO</v>
      </c>
      <c r="P277" s="1"/>
      <c r="Q277" s="1"/>
    </row>
    <row r="278" spans="1:17" ht="75" hidden="1">
      <c r="A278" s="1"/>
      <c r="B278" s="1"/>
      <c r="C278" s="1" t="str">
        <f>OBRA!CE617</f>
        <v>2021-2024</v>
      </c>
      <c r="D278" s="1">
        <f>OBRA!K617</f>
        <v>2022</v>
      </c>
      <c r="E278" s="1644" t="str">
        <f>OBRA!P617</f>
        <v xml:space="preserve">SERVICIOS </v>
      </c>
      <c r="F278" s="1644"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48">
        <f>OBRA!AT617+OBRA!AU617</f>
        <v>0</v>
      </c>
      <c r="N278" s="1">
        <f>'ADMININSTRACIÓN DIR - OBRA'!AF619</f>
        <v>9</v>
      </c>
      <c r="O278" s="1" t="str">
        <f>'ADMININSTRACIÓN DIR - OBRA'!AG619</f>
        <v>ESTUDIO</v>
      </c>
      <c r="P278" s="1"/>
      <c r="Q278" s="1"/>
    </row>
    <row r="279" spans="1:17" ht="105" hidden="1">
      <c r="A279" s="1"/>
      <c r="B279" s="1"/>
      <c r="C279" s="1" t="str">
        <f>OBRA!CE618</f>
        <v>2021-2024</v>
      </c>
      <c r="D279" s="1">
        <f>OBRA!K618</f>
        <v>2022</v>
      </c>
      <c r="E279" s="1644" t="str">
        <f>OBRA!P618</f>
        <v xml:space="preserve">SERVICIOS </v>
      </c>
      <c r="F279" s="1644"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48">
        <f>OBRA!AT618+OBRA!AU618</f>
        <v>0</v>
      </c>
      <c r="N279" s="1">
        <f>'ADMININSTRACIÓN DIR - OBRA'!AF620</f>
        <v>1</v>
      </c>
      <c r="O279" s="1" t="str">
        <f>'ADMININSTRACIÓN DIR - OBRA'!AG620</f>
        <v>ESTUDIO</v>
      </c>
      <c r="P279" s="1"/>
      <c r="Q279" s="1"/>
    </row>
    <row r="280" spans="1:17" ht="75" hidden="1">
      <c r="A280" s="1"/>
      <c r="B280" s="1"/>
      <c r="C280" s="1" t="str">
        <f>OBRA!CE619</f>
        <v>2021-2024</v>
      </c>
      <c r="D280" s="1">
        <f>OBRA!K619</f>
        <v>2022</v>
      </c>
      <c r="E280" s="1644" t="str">
        <f>OBRA!P619</f>
        <v xml:space="preserve">SERVICIOS </v>
      </c>
      <c r="F280" s="1644"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48">
        <f>OBRA!AT619+OBRA!AU619</f>
        <v>0</v>
      </c>
      <c r="N280" s="1">
        <f>'ADMININSTRACIÓN DIR - OBRA'!AF621</f>
        <v>1</v>
      </c>
      <c r="O280" s="1" t="str">
        <f>'ADMININSTRACIÓN DIR - OBRA'!AG621</f>
        <v>LOTE</v>
      </c>
      <c r="P280" s="1"/>
      <c r="Q280" s="1"/>
    </row>
    <row r="281" spans="1:17" ht="22.5" hidden="1">
      <c r="A281" s="1"/>
      <c r="B281" s="1"/>
      <c r="C281" s="1" t="str">
        <f>OBRA!CE620</f>
        <v>2021-2024</v>
      </c>
      <c r="D281" s="1">
        <f>OBRA!K620</f>
        <v>2022</v>
      </c>
      <c r="E281" s="1644" t="str">
        <f>OBRA!P620</f>
        <v>CANCELADA</v>
      </c>
      <c r="F281" s="1644" t="str">
        <f>OBRA!O620</f>
        <v>CPSP DOP 015/2022</v>
      </c>
      <c r="G281" s="3" t="str">
        <f>OBRA!Q620</f>
        <v>-</v>
      </c>
      <c r="H281" s="1"/>
      <c r="I281" s="3">
        <f>OBRA!R620</f>
        <v>0</v>
      </c>
      <c r="J281" s="3"/>
      <c r="K281" s="3"/>
      <c r="L281" s="3"/>
      <c r="M281" s="1648">
        <f>OBRA!AT620+OBRA!AU620</f>
        <v>0</v>
      </c>
      <c r="N281" s="1">
        <f>'ADMININSTRACIÓN DIR - OBRA'!AF622</f>
        <v>0</v>
      </c>
      <c r="O281" s="1">
        <f>'ADMININSTRACIÓN DIR - OBRA'!AG622</f>
        <v>0</v>
      </c>
      <c r="P281" s="1"/>
      <c r="Q281" s="1"/>
    </row>
    <row r="282" spans="1:17" ht="22.5" hidden="1">
      <c r="A282" s="1"/>
      <c r="B282" s="1"/>
      <c r="C282" s="1" t="str">
        <f>OBRA!CE621</f>
        <v>2021-2024</v>
      </c>
      <c r="D282" s="1">
        <f>OBRA!K621</f>
        <v>2022</v>
      </c>
      <c r="E282" s="1644" t="str">
        <f>OBRA!P621</f>
        <v>CANCELADA</v>
      </c>
      <c r="F282" s="1644" t="str">
        <f>OBRA!O621</f>
        <v>CPSP DOP 016/2022</v>
      </c>
      <c r="G282" s="3" t="str">
        <f>OBRA!Q621</f>
        <v>-</v>
      </c>
      <c r="H282" s="1"/>
      <c r="I282" s="3">
        <f>OBRA!R621</f>
        <v>0</v>
      </c>
      <c r="J282" s="3"/>
      <c r="K282" s="3"/>
      <c r="L282" s="3"/>
      <c r="M282" s="1648">
        <f>OBRA!AT621+OBRA!AU621</f>
        <v>0</v>
      </c>
      <c r="N282" s="1">
        <f>'ADMININSTRACIÓN DIR - OBRA'!AF623</f>
        <v>0</v>
      </c>
      <c r="O282" s="1">
        <f>'ADMININSTRACIÓN DIR - OBRA'!AG623</f>
        <v>0</v>
      </c>
      <c r="P282" s="1"/>
      <c r="Q282" s="1"/>
    </row>
    <row r="283" spans="1:17" ht="22.5" hidden="1">
      <c r="A283" s="1"/>
      <c r="B283" s="1"/>
      <c r="C283" s="1" t="str">
        <f>OBRA!CE622</f>
        <v>2021-2024</v>
      </c>
      <c r="D283" s="1">
        <f>OBRA!K622</f>
        <v>2022</v>
      </c>
      <c r="E283" s="1644" t="str">
        <f>OBRA!P622</f>
        <v>CANCELADA</v>
      </c>
      <c r="F283" s="1644" t="str">
        <f>OBRA!O622</f>
        <v>CPSP DOP 017/2022</v>
      </c>
      <c r="G283" s="3" t="str">
        <f>OBRA!Q622</f>
        <v>-</v>
      </c>
      <c r="H283" s="1"/>
      <c r="I283" s="3">
        <f>OBRA!R622</f>
        <v>0</v>
      </c>
      <c r="J283" s="3"/>
      <c r="K283" s="3"/>
      <c r="L283" s="3"/>
      <c r="M283" s="1648">
        <f>OBRA!AT622+OBRA!AU622</f>
        <v>0</v>
      </c>
      <c r="N283" s="1">
        <f>'ADMININSTRACIÓN DIR - OBRA'!AF624</f>
        <v>0</v>
      </c>
      <c r="O283" s="1">
        <f>'ADMININSTRACIÓN DIR - OBRA'!AG624</f>
        <v>0</v>
      </c>
      <c r="P283" s="1"/>
      <c r="Q283" s="1"/>
    </row>
    <row r="284" spans="1:17" ht="22.5" hidden="1">
      <c r="A284" s="1"/>
      <c r="B284" s="1"/>
      <c r="C284" s="1" t="str">
        <f>OBRA!CE623</f>
        <v>2021-2024</v>
      </c>
      <c r="D284" s="1">
        <f>OBRA!K623</f>
        <v>2022</v>
      </c>
      <c r="E284" s="1644" t="str">
        <f>OBRA!P623</f>
        <v>CANCELADA</v>
      </c>
      <c r="F284" s="1644" t="str">
        <f>OBRA!O623</f>
        <v>CPSP DOP 018/2022</v>
      </c>
      <c r="G284" s="3" t="str">
        <f>OBRA!Q623</f>
        <v>-</v>
      </c>
      <c r="H284" s="1"/>
      <c r="I284" s="3">
        <f>OBRA!R623</f>
        <v>0</v>
      </c>
      <c r="J284" s="3"/>
      <c r="K284" s="3"/>
      <c r="L284" s="3"/>
      <c r="M284" s="1648">
        <f>OBRA!AT623+OBRA!AU623</f>
        <v>0</v>
      </c>
      <c r="N284" s="1">
        <f>'ADMININSTRACIÓN DIR - OBRA'!AF625</f>
        <v>0</v>
      </c>
      <c r="O284" s="1">
        <f>'ADMININSTRACIÓN DIR - OBRA'!AG625</f>
        <v>0</v>
      </c>
      <c r="P284" s="1"/>
      <c r="Q284" s="1"/>
    </row>
    <row r="285" spans="1:17" ht="22.5" hidden="1">
      <c r="A285" s="1"/>
      <c r="B285" s="1"/>
      <c r="C285" s="1" t="str">
        <f>OBRA!CE624</f>
        <v>2021-2024</v>
      </c>
      <c r="D285" s="1">
        <f>OBRA!K624</f>
        <v>2022</v>
      </c>
      <c r="E285" s="1644" t="str">
        <f>OBRA!P624</f>
        <v>CANCELADA</v>
      </c>
      <c r="F285" s="1644" t="str">
        <f>OBRA!O624</f>
        <v>CPSP DOP 019/2022</v>
      </c>
      <c r="G285" s="3" t="str">
        <f>OBRA!Q624</f>
        <v>-</v>
      </c>
      <c r="H285" s="1"/>
      <c r="I285" s="3">
        <f>OBRA!R624</f>
        <v>0</v>
      </c>
      <c r="J285" s="3"/>
      <c r="K285" s="3"/>
      <c r="L285" s="3"/>
      <c r="M285" s="1648">
        <f>OBRA!AT624+OBRA!AU624</f>
        <v>0</v>
      </c>
      <c r="N285" s="1">
        <f>'ADMININSTRACIÓN DIR - OBRA'!AF626</f>
        <v>0</v>
      </c>
      <c r="O285" s="1">
        <f>'ADMININSTRACIÓN DIR - OBRA'!AG626</f>
        <v>0</v>
      </c>
      <c r="P285" s="1"/>
      <c r="Q285" s="1"/>
    </row>
    <row r="286" spans="1:17" ht="22.5" hidden="1">
      <c r="A286" s="1"/>
      <c r="B286" s="1"/>
      <c r="C286" s="1" t="str">
        <f>OBRA!CE625</f>
        <v>2021-2024</v>
      </c>
      <c r="D286" s="1">
        <f>OBRA!K625</f>
        <v>2022</v>
      </c>
      <c r="E286" s="1644" t="str">
        <f>OBRA!P625</f>
        <v>CANCELADA</v>
      </c>
      <c r="F286" s="1644" t="str">
        <f>OBRA!O625</f>
        <v>CPSP DOP 020/2022</v>
      </c>
      <c r="G286" s="3" t="str">
        <f>OBRA!Q625</f>
        <v>-</v>
      </c>
      <c r="H286" s="1"/>
      <c r="I286" s="3">
        <f>OBRA!R625</f>
        <v>0</v>
      </c>
      <c r="J286" s="3"/>
      <c r="K286" s="3"/>
      <c r="L286" s="3"/>
      <c r="M286" s="1648">
        <f>OBRA!AT625+OBRA!AU625</f>
        <v>0</v>
      </c>
      <c r="N286" s="1">
        <f>'ADMININSTRACIÓN DIR - OBRA'!AF627</f>
        <v>0</v>
      </c>
      <c r="O286" s="1">
        <f>'ADMININSTRACIÓN DIR - OBRA'!AG627</f>
        <v>0</v>
      </c>
      <c r="P286" s="1"/>
      <c r="Q286" s="1"/>
    </row>
    <row r="287" spans="1:17" ht="75" hidden="1">
      <c r="A287" s="1"/>
      <c r="B287" s="1"/>
      <c r="C287" s="1" t="str">
        <f>OBRA!CE626</f>
        <v>2021-2024</v>
      </c>
      <c r="D287" s="1">
        <f>OBRA!K626</f>
        <v>2022</v>
      </c>
      <c r="E287" s="1644" t="str">
        <f>OBRA!P626</f>
        <v>ARRENDAMIENTO</v>
      </c>
      <c r="F287" s="1644"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48">
        <f>OBRA!AT626+OBRA!AU626</f>
        <v>0</v>
      </c>
      <c r="N287" s="1">
        <f>'ADMININSTRACIÓN DIR - OBRA'!AF628</f>
        <v>1</v>
      </c>
      <c r="O287" s="1" t="str">
        <f>'ADMININSTRACIÓN DIR - OBRA'!AG628</f>
        <v>MAQ</v>
      </c>
      <c r="P287" s="1"/>
      <c r="Q287" s="1"/>
    </row>
    <row r="288" spans="1:17" ht="75" hidden="1">
      <c r="A288" s="1"/>
      <c r="B288" s="1"/>
      <c r="C288" s="1" t="str">
        <f>OBRA!CE627</f>
        <v>2021-2024</v>
      </c>
      <c r="D288" s="1">
        <f>OBRA!K627</f>
        <v>2022</v>
      </c>
      <c r="E288" s="1644" t="str">
        <f>OBRA!P627</f>
        <v>ARRENDAMIENTO</v>
      </c>
      <c r="F288" s="1644"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48">
        <f>OBRA!AT627+OBRA!AU627</f>
        <v>0</v>
      </c>
      <c r="N288" s="1">
        <f>'ADMININSTRACIÓN DIR - OBRA'!AF629</f>
        <v>1</v>
      </c>
      <c r="O288" s="1" t="str">
        <f>'ADMININSTRACIÓN DIR - OBRA'!AG629</f>
        <v>MAQ</v>
      </c>
      <c r="P288" s="1"/>
      <c r="Q288" s="1"/>
    </row>
    <row r="289" spans="1:17" ht="75" hidden="1">
      <c r="A289" s="1"/>
      <c r="B289" s="1"/>
      <c r="C289" s="1" t="str">
        <f>OBRA!CE628</f>
        <v>2021-2024</v>
      </c>
      <c r="D289" s="1">
        <f>OBRA!K628</f>
        <v>2022</v>
      </c>
      <c r="E289" s="1644" t="str">
        <f>OBRA!P628</f>
        <v>ARRENDAMIENTO</v>
      </c>
      <c r="F289" s="1644"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48">
        <f>OBRA!AT628+OBRA!AU628</f>
        <v>0</v>
      </c>
      <c r="N289" s="1">
        <f>'ADMININSTRACIÓN DIR - OBRA'!AF630</f>
        <v>1</v>
      </c>
      <c r="O289" s="1" t="str">
        <f>'ADMININSTRACIÓN DIR - OBRA'!AG630</f>
        <v>MAQ</v>
      </c>
      <c r="P289" s="1"/>
      <c r="Q289" s="1"/>
    </row>
    <row r="290" spans="1:17" ht="75" hidden="1">
      <c r="A290" s="1"/>
      <c r="B290" s="1"/>
      <c r="C290" s="1" t="str">
        <f>OBRA!CE629</f>
        <v>2021-2024</v>
      </c>
      <c r="D290" s="1">
        <f>OBRA!K629</f>
        <v>2022</v>
      </c>
      <c r="E290" s="1644" t="str">
        <f>OBRA!P629</f>
        <v>ARRENDAMIENTO</v>
      </c>
      <c r="F290" s="1644"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48">
        <f>OBRA!AT629+OBRA!AU629</f>
        <v>0</v>
      </c>
      <c r="N290" s="1">
        <f>'ADMININSTRACIÓN DIR - OBRA'!AF631</f>
        <v>1</v>
      </c>
      <c r="O290" s="1" t="str">
        <f>'ADMININSTRACIÓN DIR - OBRA'!AG631</f>
        <v>MAQ</v>
      </c>
      <c r="P290" s="1"/>
      <c r="Q290" s="1"/>
    </row>
    <row r="291" spans="1:17" ht="75" hidden="1">
      <c r="A291" s="1"/>
      <c r="B291" s="1"/>
      <c r="C291" s="1" t="str">
        <f>OBRA!CE630</f>
        <v>2021-2024</v>
      </c>
      <c r="D291" s="1">
        <f>OBRA!K630</f>
        <v>2022</v>
      </c>
      <c r="E291" s="1644" t="str">
        <f>OBRA!P630</f>
        <v>ARRENDAMIENTO</v>
      </c>
      <c r="F291" s="1644"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48">
        <f>OBRA!AT630+OBRA!AU630</f>
        <v>0</v>
      </c>
      <c r="N291" s="1">
        <f>'ADMININSTRACIÓN DIR - OBRA'!AF632</f>
        <v>1</v>
      </c>
      <c r="O291" s="1" t="str">
        <f>'ADMININSTRACIÓN DIR - OBRA'!AG632</f>
        <v>MAQ</v>
      </c>
      <c r="P291" s="1"/>
      <c r="Q291" s="1"/>
    </row>
    <row r="292" spans="1:17" ht="75" hidden="1">
      <c r="A292" s="1"/>
      <c r="B292" s="1"/>
      <c r="C292" s="1" t="str">
        <f>OBRA!CE631</f>
        <v>2021-2024</v>
      </c>
      <c r="D292" s="1">
        <f>OBRA!K631</f>
        <v>2022</v>
      </c>
      <c r="E292" s="1644" t="str">
        <f>OBRA!P631</f>
        <v>ARRENDAMIENTO</v>
      </c>
      <c r="F292" s="1644"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48">
        <f>OBRA!AT631+OBRA!AU631</f>
        <v>0</v>
      </c>
      <c r="N292" s="1">
        <f>'ADMININSTRACIÓN DIR - OBRA'!AF633</f>
        <v>1</v>
      </c>
      <c r="O292" s="1" t="str">
        <f>'ADMININSTRACIÓN DIR - OBRA'!AG633</f>
        <v>MAQ</v>
      </c>
      <c r="P292" s="1"/>
      <c r="Q292" s="1"/>
    </row>
    <row r="293" spans="1:17" ht="75" hidden="1">
      <c r="A293" s="1"/>
      <c r="B293" s="1"/>
      <c r="C293" s="1" t="str">
        <f>OBRA!CE632</f>
        <v>2021-2024</v>
      </c>
      <c r="D293" s="1">
        <f>OBRA!K632</f>
        <v>2022</v>
      </c>
      <c r="E293" s="1644" t="str">
        <f>OBRA!P632</f>
        <v>ARRENDAMIENTO</v>
      </c>
      <c r="F293" s="1644"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48">
        <f>OBRA!AT632+OBRA!AU632</f>
        <v>0</v>
      </c>
      <c r="N293" s="1">
        <f>'ADMININSTRACIÓN DIR - OBRA'!AF634</f>
        <v>1</v>
      </c>
      <c r="O293" s="1" t="str">
        <f>'ADMININSTRACIÓN DIR - OBRA'!AG634</f>
        <v>MAQ</v>
      </c>
      <c r="P293" s="1"/>
      <c r="Q293" s="1"/>
    </row>
    <row r="294" spans="1:17" ht="75" hidden="1">
      <c r="A294" s="1"/>
      <c r="B294" s="1"/>
      <c r="C294" s="1" t="str">
        <f>OBRA!CE633</f>
        <v>2021-2024</v>
      </c>
      <c r="D294" s="1">
        <f>OBRA!K633</f>
        <v>2022</v>
      </c>
      <c r="E294" s="1644" t="str">
        <f>OBRA!P633</f>
        <v>ARRENDAMIENTO</v>
      </c>
      <c r="F294" s="1644"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48">
        <f>OBRA!AT633+OBRA!AU633</f>
        <v>0</v>
      </c>
      <c r="N294" s="1">
        <f>'ADMININSTRACIÓN DIR - OBRA'!AF635</f>
        <v>1</v>
      </c>
      <c r="O294" s="1" t="str">
        <f>'ADMININSTRACIÓN DIR - OBRA'!AG635</f>
        <v>MAQ</v>
      </c>
      <c r="P294" s="1"/>
      <c r="Q294" s="1"/>
    </row>
    <row r="295" spans="1:17" hidden="1">
      <c r="A295" s="1"/>
      <c r="B295" s="1"/>
      <c r="C295" s="1" t="str">
        <f>OBRA!CE634</f>
        <v>2021-2024</v>
      </c>
      <c r="D295" s="1">
        <f>OBRA!K634</f>
        <v>2022</v>
      </c>
      <c r="E295" s="1644" t="str">
        <f>OBRA!P634</f>
        <v>CANCELADA</v>
      </c>
      <c r="F295" s="1644" t="str">
        <f>OBRA!O634</f>
        <v>C- OP 009/2022</v>
      </c>
      <c r="G295" s="3" t="str">
        <f>OBRA!Q634</f>
        <v>-</v>
      </c>
      <c r="H295" s="1"/>
      <c r="I295" s="3">
        <f>OBRA!R634</f>
        <v>0</v>
      </c>
      <c r="J295" s="3"/>
      <c r="K295" s="3"/>
      <c r="L295" s="3"/>
      <c r="M295" s="1648">
        <f>OBRA!AT634+OBRA!AU634</f>
        <v>0</v>
      </c>
      <c r="N295" s="1">
        <f>'ADMININSTRACIÓN DIR - OBRA'!AF636</f>
        <v>0</v>
      </c>
      <c r="O295" s="1">
        <f>'ADMININSTRACIÓN DIR - OBRA'!AG636</f>
        <v>0</v>
      </c>
      <c r="P295" s="1"/>
      <c r="Q295" s="1"/>
    </row>
    <row r="296" spans="1:17" hidden="1">
      <c r="A296" s="1"/>
      <c r="B296" s="1"/>
      <c r="C296" s="1" t="str">
        <f>OBRA!CE635</f>
        <v>2021-2024</v>
      </c>
      <c r="D296" s="1">
        <f>OBRA!K635</f>
        <v>2022</v>
      </c>
      <c r="E296" s="1644" t="str">
        <f>OBRA!P635</f>
        <v>CANCELADA</v>
      </c>
      <c r="F296" s="1644" t="str">
        <f>OBRA!O635</f>
        <v>C- OP 010/2022</v>
      </c>
      <c r="G296" s="3" t="str">
        <f>OBRA!Q635</f>
        <v>-</v>
      </c>
      <c r="H296" s="1"/>
      <c r="I296" s="3">
        <f>OBRA!R635</f>
        <v>0</v>
      </c>
      <c r="J296" s="3"/>
      <c r="K296" s="3"/>
      <c r="L296" s="3"/>
      <c r="M296" s="1648">
        <f>OBRA!AT635+OBRA!AU635</f>
        <v>0</v>
      </c>
      <c r="N296" s="1">
        <f>'ADMININSTRACIÓN DIR - OBRA'!AF637</f>
        <v>0</v>
      </c>
      <c r="O296" s="1">
        <f>'ADMININSTRACIÓN DIR - OBRA'!AG637</f>
        <v>0</v>
      </c>
      <c r="P296" s="1"/>
      <c r="Q296" s="1"/>
    </row>
    <row r="297" spans="1:17" ht="71.25" customHeight="1">
      <c r="A297" s="1"/>
      <c r="B297" s="1646"/>
      <c r="C297" s="1" t="str">
        <f>OBRA!CE636</f>
        <v>2021-2024</v>
      </c>
      <c r="D297" s="1">
        <f>OBRA!K636</f>
        <v>2022</v>
      </c>
      <c r="E297" s="1644"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44" t="s">
        <v>4748</v>
      </c>
      <c r="I297" s="3" t="str">
        <f>OBRA!R636</f>
        <v>LA LOMA</v>
      </c>
      <c r="J297" s="3" t="s">
        <v>4657</v>
      </c>
      <c r="K297" s="3" t="s">
        <v>4789</v>
      </c>
      <c r="L297" s="3" t="s">
        <v>4770</v>
      </c>
      <c r="M297" s="1679">
        <f>OBRA!S636</f>
        <v>98067.87</v>
      </c>
      <c r="N297" s="1">
        <f>'ADMININSTRACIÓN DIR - OBRA'!AF638</f>
        <v>92</v>
      </c>
      <c r="O297" s="1" t="str">
        <f>'ADMININSTRACIÓN DIR - OBRA'!AG638</f>
        <v>ML</v>
      </c>
      <c r="P297" s="2" t="s">
        <v>4907</v>
      </c>
      <c r="Q297" s="1161"/>
    </row>
    <row r="298" spans="1:17" ht="80.25" customHeight="1">
      <c r="A298" s="1"/>
      <c r="B298" s="1646"/>
      <c r="C298" s="1" t="str">
        <f>OBRA!CE637</f>
        <v>2021-2024</v>
      </c>
      <c r="D298" s="1">
        <f>OBRA!K637</f>
        <v>2022</v>
      </c>
      <c r="E298" s="1644"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44" t="s">
        <v>4750</v>
      </c>
      <c r="I298" s="3" t="str">
        <f>OBRA!R637</f>
        <v>LA LOMA</v>
      </c>
      <c r="J298" s="3" t="s">
        <v>4816</v>
      </c>
      <c r="K298" s="3" t="s">
        <v>3146</v>
      </c>
      <c r="L298" s="3" t="s">
        <v>4078</v>
      </c>
      <c r="M298" s="1679">
        <f>OBRA!S637</f>
        <v>160513.82999999999</v>
      </c>
      <c r="N298" s="1">
        <f>'ADMININSTRACIÓN DIR - OBRA'!AF639</f>
        <v>97</v>
      </c>
      <c r="O298" s="1" t="str">
        <f>'ADMININSTRACIÓN DIR - OBRA'!AG639</f>
        <v>ML</v>
      </c>
      <c r="P298" s="2" t="s">
        <v>4908</v>
      </c>
      <c r="Q298" s="1161"/>
    </row>
    <row r="299" spans="1:17" ht="85.5" customHeight="1">
      <c r="A299" s="1"/>
      <c r="B299" s="1646"/>
      <c r="C299" s="1" t="str">
        <f>OBRA!CE638</f>
        <v>2021-2024</v>
      </c>
      <c r="D299" s="1">
        <f>OBRA!K638</f>
        <v>2022</v>
      </c>
      <c r="E299" s="1644"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44" t="s">
        <v>4750</v>
      </c>
      <c r="I299" s="3" t="str">
        <f>OBRA!R638</f>
        <v>LA LOMA</v>
      </c>
      <c r="J299" s="3" t="s">
        <v>4818</v>
      </c>
      <c r="K299" s="3" t="s">
        <v>4789</v>
      </c>
      <c r="L299" s="3" t="s">
        <v>2685</v>
      </c>
      <c r="M299" s="1679">
        <f>OBRA!S638</f>
        <v>236056.39</v>
      </c>
      <c r="N299" s="1">
        <f>'ADMININSTRACIÓN DIR - OBRA'!AF640</f>
        <v>151.55000000000001</v>
      </c>
      <c r="O299" s="1" t="str">
        <f>'ADMININSTRACIÓN DIR - OBRA'!AG640</f>
        <v>ML</v>
      </c>
      <c r="P299" s="2" t="s">
        <v>4909</v>
      </c>
      <c r="Q299" s="1161"/>
    </row>
    <row r="300" spans="1:17" ht="161.25" customHeight="1">
      <c r="A300" s="1"/>
      <c r="B300" s="1646"/>
      <c r="C300" s="1" t="str">
        <f>OBRA!CE639</f>
        <v>2021-2024</v>
      </c>
      <c r="D300" s="1">
        <f>OBRA!K639</f>
        <v>2022</v>
      </c>
      <c r="E300" s="1644"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44" t="s">
        <v>4754</v>
      </c>
      <c r="I300" s="3" t="str">
        <f>OBRA!R639</f>
        <v>SAN CRISTÓBAL ZAPOTITLÁN</v>
      </c>
      <c r="J300" s="3" t="s">
        <v>2717</v>
      </c>
      <c r="K300" s="3" t="s">
        <v>2538</v>
      </c>
      <c r="L300" s="3" t="s">
        <v>4770</v>
      </c>
      <c r="M300" s="1679">
        <f>OBRA!S639</f>
        <v>2031883.8</v>
      </c>
      <c r="N300" s="1">
        <f>'ADMININSTRACIÓN DIR - OBRA'!AF641</f>
        <v>1</v>
      </c>
      <c r="O300" s="1" t="str">
        <f>'ADMININSTRACIÓN DIR - OBRA'!AG641</f>
        <v>POZO</v>
      </c>
      <c r="P300" s="2" t="s">
        <v>67</v>
      </c>
      <c r="Q300" s="1161"/>
    </row>
    <row r="301" spans="1:17" ht="76.5" customHeight="1">
      <c r="A301" s="1"/>
      <c r="B301" s="1646"/>
      <c r="C301" s="1" t="str">
        <f>OBRA!CE640</f>
        <v>2021-2024</v>
      </c>
      <c r="D301" s="1">
        <f>OBRA!K640</f>
        <v>2022</v>
      </c>
      <c r="E301" s="1644"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44" t="s">
        <v>4750</v>
      </c>
      <c r="I301" s="3" t="str">
        <f>OBRA!R640</f>
        <v>NEXTIPAC</v>
      </c>
      <c r="J301" s="3" t="s">
        <v>2491</v>
      </c>
      <c r="K301" s="3" t="s">
        <v>2569</v>
      </c>
      <c r="L301" s="3" t="s">
        <v>4809</v>
      </c>
      <c r="M301" s="1679">
        <f>OBRA!S640</f>
        <v>793754.52</v>
      </c>
      <c r="N301" s="1">
        <f>'ADMININSTRACIÓN DIR - OBRA'!AF642</f>
        <v>129</v>
      </c>
      <c r="O301" s="1" t="str">
        <f>'ADMININSTRACIÓN DIR - OBRA'!AG642</f>
        <v>ML</v>
      </c>
      <c r="P301" s="1305" t="s">
        <v>4910</v>
      </c>
      <c r="Q301" s="1161"/>
    </row>
    <row r="302" spans="1:17" ht="83.25" customHeight="1">
      <c r="A302" s="1"/>
      <c r="B302" s="1646"/>
      <c r="C302" s="1" t="str">
        <f>OBRA!CE641</f>
        <v>2021-2024</v>
      </c>
      <c r="D302" s="1">
        <f>OBRA!K641</f>
        <v>2022</v>
      </c>
      <c r="E302" s="1644"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44" t="s">
        <v>4764</v>
      </c>
      <c r="I302" s="3" t="str">
        <f>OBRA!R641</f>
        <v>NEXTIPAC</v>
      </c>
      <c r="J302" s="3" t="s">
        <v>2491</v>
      </c>
      <c r="K302" s="3" t="s">
        <v>2569</v>
      </c>
      <c r="L302" s="3" t="s">
        <v>4809</v>
      </c>
      <c r="M302" s="1679">
        <f>OBRA!S641</f>
        <v>579637.71</v>
      </c>
      <c r="N302" s="1">
        <v>7</v>
      </c>
      <c r="O302" s="1593" t="s">
        <v>1841</v>
      </c>
      <c r="P302" s="2" t="s">
        <v>4915</v>
      </c>
      <c r="Q302" s="1161" t="s">
        <v>4916</v>
      </c>
    </row>
    <row r="303" spans="1:17" ht="116.25" customHeight="1">
      <c r="A303" s="1"/>
      <c r="B303" s="1646"/>
      <c r="C303" s="1" t="str">
        <f>OBRA!CE642</f>
        <v>2021-2024</v>
      </c>
      <c r="D303" s="1">
        <f>OBRA!K642</f>
        <v>2022</v>
      </c>
      <c r="E303" s="1644"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44" t="s">
        <v>4759</v>
      </c>
      <c r="I303" s="3" t="str">
        <f>OBRA!R642</f>
        <v>SAN JUAN COSALÁ</v>
      </c>
      <c r="J303" s="3" t="s">
        <v>4819</v>
      </c>
      <c r="K303" s="3" t="s">
        <v>4785</v>
      </c>
      <c r="L303" s="3" t="s">
        <v>4770</v>
      </c>
      <c r="M303" s="1679">
        <f>OBRA!S642</f>
        <v>627108.43000000005</v>
      </c>
      <c r="N303" s="1">
        <f>'ADMININSTRACIÓN DIR - OBRA'!AF644</f>
        <v>300.95</v>
      </c>
      <c r="O303" s="1" t="str">
        <f>'ADMININSTRACIÓN DIR - OBRA'!AG644</f>
        <v>M2</v>
      </c>
      <c r="P303" s="1305" t="s">
        <v>4912</v>
      </c>
      <c r="Q303" s="1161" t="s">
        <v>4913</v>
      </c>
    </row>
    <row r="304" spans="1:17" ht="86.25" customHeight="1">
      <c r="A304" s="1"/>
      <c r="B304" s="1646"/>
      <c r="C304" s="1" t="str">
        <f>OBRA!CE643</f>
        <v>2021-2024</v>
      </c>
      <c r="D304" s="1">
        <f>OBRA!K643</f>
        <v>2022</v>
      </c>
      <c r="E304" s="1644"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44" t="s">
        <v>4750</v>
      </c>
      <c r="I304" s="3" t="str">
        <f>OBRA!R643</f>
        <v>SAN JUAN COSALÁ</v>
      </c>
      <c r="J304" s="3" t="s">
        <v>4820</v>
      </c>
      <c r="K304" s="3" t="s">
        <v>4892</v>
      </c>
      <c r="L304" s="3" t="s">
        <v>4893</v>
      </c>
      <c r="M304" s="1679">
        <f>OBRA!S643</f>
        <v>168470.35</v>
      </c>
      <c r="N304" s="1">
        <f>'ADMININSTRACIÓN DIR - OBRA'!AF645</f>
        <v>120</v>
      </c>
      <c r="O304" s="1" t="str">
        <f>'ADMININSTRACIÓN DIR - OBRA'!AG645</f>
        <v>ML</v>
      </c>
      <c r="P304" s="2" t="s">
        <v>4914</v>
      </c>
      <c r="Q304" s="1161"/>
    </row>
    <row r="305" spans="1:17" ht="74.25" customHeight="1">
      <c r="A305" s="1"/>
      <c r="B305" s="1646"/>
      <c r="C305" s="1" t="str">
        <f>OBRA!CE644</f>
        <v>2021-2024</v>
      </c>
      <c r="D305" s="1">
        <f>OBRA!K644</f>
        <v>2022</v>
      </c>
      <c r="E305" s="1644"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44" t="s">
        <v>4764</v>
      </c>
      <c r="I305" s="3" t="str">
        <f>OBRA!R644</f>
        <v>CHANTEPEC</v>
      </c>
      <c r="J305" s="3" t="s">
        <v>4700</v>
      </c>
      <c r="K305" s="3" t="s">
        <v>4795</v>
      </c>
      <c r="L305" s="3" t="s">
        <v>4799</v>
      </c>
      <c r="M305" s="1679">
        <f>OBRA!S644</f>
        <v>809084.8</v>
      </c>
      <c r="N305" s="1">
        <v>28</v>
      </c>
      <c r="O305" s="1593" t="s">
        <v>1757</v>
      </c>
      <c r="P305" s="2" t="s">
        <v>4911</v>
      </c>
      <c r="Q305" s="1161"/>
    </row>
    <row r="306" spans="1:17" ht="87" customHeight="1">
      <c r="A306" s="1"/>
      <c r="B306" s="1646"/>
      <c r="C306" s="1" t="str">
        <f>OBRA!CE645</f>
        <v>2021-2024</v>
      </c>
      <c r="D306" s="1">
        <f>OBRA!K645</f>
        <v>2022</v>
      </c>
      <c r="E306" s="1644"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44" t="s">
        <v>4762</v>
      </c>
      <c r="I306" s="3" t="str">
        <f>OBRA!R645</f>
        <v>CABECERA MUNICIPAL</v>
      </c>
      <c r="J306" s="3" t="s">
        <v>4821</v>
      </c>
      <c r="K306" s="3" t="s">
        <v>67</v>
      </c>
      <c r="L306" s="3" t="s">
        <v>67</v>
      </c>
      <c r="M306" s="1679">
        <f>OBRA!S645</f>
        <v>1697255.04</v>
      </c>
      <c r="N306" s="1">
        <f>'ADMININSTRACIÓN DIR - OBRA'!AF647</f>
        <v>286.43</v>
      </c>
      <c r="O306" s="1" t="str">
        <f>'ADMININSTRACIÓN DIR - OBRA'!AG647</f>
        <v>M2</v>
      </c>
      <c r="P306" s="1305" t="s">
        <v>4917</v>
      </c>
      <c r="Q306" s="1161"/>
    </row>
    <row r="307" spans="1:17" ht="87" customHeight="1">
      <c r="A307" s="1"/>
      <c r="B307" s="1646"/>
      <c r="C307" s="1" t="str">
        <f>OBRA!CE646</f>
        <v>2021-2024</v>
      </c>
      <c r="D307" s="1">
        <f>OBRA!K646</f>
        <v>2022</v>
      </c>
      <c r="E307" s="1644"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44" t="s">
        <v>4760</v>
      </c>
      <c r="I307" s="3" t="str">
        <f>OBRA!R646</f>
        <v>CABECERA MUNICIPAL</v>
      </c>
      <c r="J307" s="3" t="s">
        <v>4777</v>
      </c>
      <c r="K307" s="3" t="s">
        <v>2531</v>
      </c>
      <c r="L307" s="3" t="s">
        <v>4803</v>
      </c>
      <c r="M307" s="1679">
        <f>OBRA!S646</f>
        <v>1343062.53</v>
      </c>
      <c r="N307" s="220">
        <f>'ADMININSTRACIÓN DIR - OBRA'!AF648</f>
        <v>0</v>
      </c>
      <c r="O307" s="220" t="s">
        <v>1450</v>
      </c>
      <c r="P307" s="2" t="s">
        <v>67</v>
      </c>
      <c r="Q307" s="1161"/>
    </row>
    <row r="308" spans="1:17" ht="58.5" customHeight="1">
      <c r="A308" s="1"/>
      <c r="B308" s="1646"/>
      <c r="C308" s="1" t="str">
        <f>OBRA!CE647</f>
        <v>2021-2024</v>
      </c>
      <c r="D308" s="1">
        <f>OBRA!K647</f>
        <v>2022</v>
      </c>
      <c r="E308" s="1644" t="str">
        <f>OBRA!P647</f>
        <v>ADJUDICACIÓN DIRECTA</v>
      </c>
      <c r="F308" s="1305" t="str">
        <f>OBRA!O647</f>
        <v>GMJ 012 C-OP/2022</v>
      </c>
      <c r="G308" s="3" t="str">
        <f>OBRA!Q647</f>
        <v>"REPARACIÓN DE BANQUETA PERIMETRAL EN LA PLAZA PRINCIPAL" DE LA CABECERA MUNICPAL DE JOCOTEPEC, JALISCO.</v>
      </c>
      <c r="H308" s="1644" t="s">
        <v>4751</v>
      </c>
      <c r="I308" s="3" t="str">
        <f>OBRA!R647</f>
        <v>CABECERA MUNICIPAL</v>
      </c>
      <c r="J308" s="3" t="s">
        <v>4802</v>
      </c>
      <c r="K308" s="3" t="s">
        <v>4645</v>
      </c>
      <c r="L308" s="3" t="s">
        <v>67</v>
      </c>
      <c r="M308" s="1679">
        <f>OBRA!S647</f>
        <v>85733.34</v>
      </c>
      <c r="N308" s="1">
        <f>'ADMININSTRACIÓN DIR - OBRA'!AF649</f>
        <v>100.4</v>
      </c>
      <c r="O308" s="1" t="str">
        <f>'ADMININSTRACIÓN DIR - OBRA'!AG649</f>
        <v>M2</v>
      </c>
      <c r="P308" s="2" t="s">
        <v>4918</v>
      </c>
      <c r="Q308" s="1161"/>
    </row>
    <row r="309" spans="1:17" ht="132.75" customHeight="1">
      <c r="A309" s="1"/>
      <c r="B309" s="1646"/>
      <c r="C309" s="1" t="str">
        <f>OBRA!CE648</f>
        <v>2021-2024</v>
      </c>
      <c r="D309" s="1">
        <f>OBRA!K648</f>
        <v>2022</v>
      </c>
      <c r="E309" s="1644"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44" t="s">
        <v>4759</v>
      </c>
      <c r="I309" s="3" t="str">
        <f>OBRA!R648</f>
        <v>CABECERA MUNICIPAL</v>
      </c>
      <c r="J309" s="3" t="s">
        <v>4796</v>
      </c>
      <c r="K309" s="3" t="s">
        <v>2531</v>
      </c>
      <c r="L309" s="3" t="s">
        <v>4775</v>
      </c>
      <c r="M309" s="1679">
        <f>OBRA!S648</f>
        <v>4165845.27</v>
      </c>
      <c r="N309" s="1">
        <f>'ADMININSTRACIÓN DIR - OBRA'!AF650</f>
        <v>2211.6</v>
      </c>
      <c r="O309" s="1" t="str">
        <f>'ADMININSTRACIÓN DIR - OBRA'!AG650</f>
        <v>M2</v>
      </c>
      <c r="P309" s="1305" t="s">
        <v>4919</v>
      </c>
      <c r="Q309" s="1161" t="s">
        <v>4920</v>
      </c>
    </row>
    <row r="310" spans="1:17" ht="102" customHeight="1">
      <c r="A310" s="1"/>
      <c r="B310" s="1646"/>
      <c r="C310" s="1" t="str">
        <f>OBRA!CE649</f>
        <v>2021-2024</v>
      </c>
      <c r="D310" s="1">
        <f>OBRA!K649</f>
        <v>2022</v>
      </c>
      <c r="E310" s="1644"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44" t="s">
        <v>4754</v>
      </c>
      <c r="I310" s="3" t="str">
        <f>OBRA!R649</f>
        <v>SAN JUAN COSALÁ</v>
      </c>
      <c r="J310" s="3" t="s">
        <v>4825</v>
      </c>
      <c r="K310" s="3" t="s">
        <v>2589</v>
      </c>
      <c r="L310" s="3" t="s">
        <v>4815</v>
      </c>
      <c r="M310" s="1679">
        <f>OBRA!S649</f>
        <v>4216204.78</v>
      </c>
      <c r="N310" s="1">
        <v>280</v>
      </c>
      <c r="O310" s="1" t="str">
        <f>'ADMININSTRACIÓN DIR - OBRA'!AG651</f>
        <v>ML</v>
      </c>
      <c r="P310" s="2" t="s">
        <v>67</v>
      </c>
      <c r="Q310" s="1161" t="s">
        <v>67</v>
      </c>
    </row>
    <row r="311" spans="1:17" ht="87" customHeight="1">
      <c r="A311" s="1"/>
      <c r="B311" s="1646"/>
      <c r="C311" s="1" t="str">
        <f>OBRA!CE650</f>
        <v>2021-2024</v>
      </c>
      <c r="D311" s="1">
        <f>OBRA!K650</f>
        <v>2022</v>
      </c>
      <c r="E311" s="1644"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44" t="s">
        <v>4754</v>
      </c>
      <c r="I311" s="3" t="str">
        <f>OBRA!R650</f>
        <v>CHANTEPEC</v>
      </c>
      <c r="J311" s="3" t="s">
        <v>2636</v>
      </c>
      <c r="K311" s="3" t="s">
        <v>4822</v>
      </c>
      <c r="L311" s="3" t="s">
        <v>4777</v>
      </c>
      <c r="M311" s="1679">
        <f>OBRA!S650</f>
        <v>3845696.93</v>
      </c>
      <c r="N311" s="1">
        <f>'ADMININSTRACIÓN DIR - OBRA'!AF652</f>
        <v>350</v>
      </c>
      <c r="O311" s="1" t="str">
        <f>'ADMININSTRACIÓN DIR - OBRA'!AG652</f>
        <v>ML</v>
      </c>
      <c r="P311" s="2" t="s">
        <v>67</v>
      </c>
      <c r="Q311" s="1161" t="s">
        <v>67</v>
      </c>
    </row>
    <row r="312" spans="1:17" ht="73.5" customHeight="1">
      <c r="A312" s="1"/>
      <c r="B312" s="1646"/>
      <c r="C312" s="1" t="str">
        <f>OBRA!CE651</f>
        <v>2021-2024</v>
      </c>
      <c r="D312" s="1">
        <f>OBRA!K651</f>
        <v>2022</v>
      </c>
      <c r="E312" s="1644"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44" t="s">
        <v>4756</v>
      </c>
      <c r="I312" s="3" t="str">
        <f>OBRA!R651</f>
        <v>NEXTIPAC</v>
      </c>
      <c r="J312" s="3" t="s">
        <v>2569</v>
      </c>
      <c r="K312" s="3" t="s">
        <v>4076</v>
      </c>
      <c r="L312" s="3" t="s">
        <v>4023</v>
      </c>
      <c r="M312" s="1679">
        <f>OBRA!S651</f>
        <v>645484.5</v>
      </c>
      <c r="N312" s="1">
        <f>'ADMININSTRACIÓN DIR - OBRA'!AF653</f>
        <v>135.13</v>
      </c>
      <c r="O312" s="1" t="str">
        <f>'ADMININSTRACIÓN DIR - OBRA'!AG653</f>
        <v>ML</v>
      </c>
      <c r="P312" s="2" t="s">
        <v>4921</v>
      </c>
      <c r="Q312" s="1161"/>
    </row>
    <row r="313" spans="1:17" ht="123" customHeight="1">
      <c r="A313" s="1"/>
      <c r="B313" s="1646"/>
      <c r="C313" s="1" t="str">
        <f>OBRA!CE652</f>
        <v>2021-2024</v>
      </c>
      <c r="D313" s="1">
        <f>OBRA!K652</f>
        <v>2022</v>
      </c>
      <c r="E313" s="1644"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44" t="s">
        <v>4759</v>
      </c>
      <c r="I313" s="3" t="str">
        <f>OBRA!R652</f>
        <v>CABECERA MUNICIPAL</v>
      </c>
      <c r="J313" s="3" t="s">
        <v>2603</v>
      </c>
      <c r="K313" s="3" t="s">
        <v>4773</v>
      </c>
      <c r="L313" s="3" t="s">
        <v>4823</v>
      </c>
      <c r="M313" s="1679">
        <f>OBRA!S652</f>
        <v>2479806.63</v>
      </c>
      <c r="N313" s="1">
        <f>'ADMININSTRACIÓN DIR - OBRA'!AF654</f>
        <v>1770.97</v>
      </c>
      <c r="O313" s="1" t="str">
        <f>'ADMININSTRACIÓN DIR - OBRA'!AG654</f>
        <v>M2</v>
      </c>
      <c r="P313" s="1305" t="s">
        <v>4922</v>
      </c>
      <c r="Q313" s="1161" t="s">
        <v>4923</v>
      </c>
    </row>
    <row r="314" spans="1:17" ht="108.75" customHeight="1">
      <c r="A314" s="1"/>
      <c r="B314" s="1646"/>
      <c r="C314" s="1" t="str">
        <f>OBRA!CE653</f>
        <v>2021-2024</v>
      </c>
      <c r="D314" s="1">
        <f>OBRA!K653</f>
        <v>2022</v>
      </c>
      <c r="E314" s="1644"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44" t="s">
        <v>4759</v>
      </c>
      <c r="I314" s="3" t="str">
        <f>OBRA!R653</f>
        <v>CABECERA MUNICIPAL</v>
      </c>
      <c r="J314" s="3" t="s">
        <v>4824</v>
      </c>
      <c r="K314" s="3" t="s">
        <v>4894</v>
      </c>
      <c r="L314" s="3" t="s">
        <v>4895</v>
      </c>
      <c r="M314" s="1679">
        <f>OBRA!S653</f>
        <v>2218847.77</v>
      </c>
      <c r="N314" s="1">
        <f>'ADMININSTRACIÓN DIR - OBRA'!AF655</f>
        <v>1566.71</v>
      </c>
      <c r="O314" s="1" t="str">
        <f>'ADMININSTRACIÓN DIR - OBRA'!AG655</f>
        <v>M2</v>
      </c>
      <c r="P314" s="1305" t="s">
        <v>4924</v>
      </c>
      <c r="Q314" s="1161" t="s">
        <v>4925</v>
      </c>
    </row>
    <row r="315" spans="1:17" ht="63" customHeight="1">
      <c r="A315" s="1"/>
      <c r="B315" s="1646"/>
      <c r="C315" s="1" t="str">
        <f>OBRA!CE654</f>
        <v>2021-2024</v>
      </c>
      <c r="D315" s="1">
        <f>OBRA!K654</f>
        <v>2022</v>
      </c>
      <c r="E315" s="1644" t="str">
        <f>OBRA!P654</f>
        <v>ADJUDICACIÓN DIRECTA</v>
      </c>
      <c r="F315" s="1305" t="str">
        <f>OBRA!O654</f>
        <v>GMJ 019 C-OP/2022</v>
      </c>
      <c r="G315" s="3" t="str">
        <f>OBRA!Q654</f>
        <v>“CONSTRUCCIÓN DE REDES HIDROSANITARÍAS EN CALLE PRIV. JUAN PABLO II”, EN LA LOCALIDAD DE SAN JUAN COSALÁ, DEL MUNICIPIO DE JOCOTEPEC, JALISCO</v>
      </c>
      <c r="H315" s="1644" t="s">
        <v>4756</v>
      </c>
      <c r="I315" s="3" t="str">
        <f>OBRA!R654</f>
        <v>SAN JUAN COSALÁ</v>
      </c>
      <c r="J315" s="3" t="s">
        <v>4825</v>
      </c>
      <c r="K315" s="3" t="s">
        <v>2589</v>
      </c>
      <c r="L315" s="3" t="s">
        <v>4815</v>
      </c>
      <c r="M315" s="1679">
        <f>OBRA!S654</f>
        <v>762057.5</v>
      </c>
      <c r="N315" s="220">
        <f>'ADMININSTRACIÓN DIR - OBRA'!AF656</f>
        <v>290.17</v>
      </c>
      <c r="O315" s="1" t="str">
        <f>'ADMININSTRACIÓN DIR - OBRA'!AG656</f>
        <v>ML</v>
      </c>
      <c r="P315" s="511"/>
      <c r="Q315" s="1684"/>
    </row>
    <row r="316" spans="1:17" ht="22.5" hidden="1">
      <c r="A316" s="1"/>
      <c r="B316" s="1"/>
      <c r="C316" s="1" t="str">
        <f>OBRA!CE655</f>
        <v>2021-2024</v>
      </c>
      <c r="D316" s="1">
        <f>OBRA!K655</f>
        <v>2022</v>
      </c>
      <c r="E316" s="1644" t="str">
        <f>OBRA!P655</f>
        <v>CANCELADA</v>
      </c>
      <c r="F316" s="1644" t="str">
        <f>OBRA!O655</f>
        <v>GMJ 020 C-OP/2022</v>
      </c>
      <c r="G316" s="3" t="str">
        <f>OBRA!Q655</f>
        <v>CANCELADA</v>
      </c>
      <c r="H316" s="1"/>
      <c r="I316" s="3">
        <f>OBRA!R655</f>
        <v>0</v>
      </c>
      <c r="J316" s="3"/>
      <c r="K316" s="3"/>
      <c r="L316" s="3"/>
      <c r="M316" s="1648">
        <f>OBRA!AT655+OBRA!AU655</f>
        <v>0</v>
      </c>
      <c r="N316" s="1">
        <f>'ADMININSTRACIÓN DIR - OBRA'!AF657</f>
        <v>0</v>
      </c>
      <c r="O316" s="1">
        <f>'ADMININSTRACIÓN DIR - OBRA'!AG657</f>
        <v>0</v>
      </c>
      <c r="P316" s="1"/>
      <c r="Q316" s="1"/>
    </row>
    <row r="317" spans="1:17" ht="60" hidden="1">
      <c r="A317" s="1"/>
      <c r="B317" s="1"/>
      <c r="C317" s="1" t="str">
        <f>OBRA!CE656</f>
        <v>2021-2024</v>
      </c>
      <c r="D317" s="1">
        <f>OBRA!K656</f>
        <v>2022</v>
      </c>
      <c r="E317" s="1644" t="str">
        <f>OBRA!P656</f>
        <v>CONVENIO</v>
      </c>
      <c r="F317" s="1644"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48">
        <f>OBRA!AT656+OBRA!AU656</f>
        <v>0</v>
      </c>
      <c r="N317" s="1">
        <f>'ADMININSTRACIÓN DIR - OBRA'!AF658</f>
        <v>0</v>
      </c>
      <c r="O317" s="1">
        <f>'ADMININSTRACIÓN DIR - OBRA'!AG658</f>
        <v>0</v>
      </c>
      <c r="P317" s="1"/>
      <c r="Q317" s="1"/>
    </row>
    <row r="318" spans="1:17" ht="60" hidden="1">
      <c r="A318" s="1"/>
      <c r="B318" s="1"/>
      <c r="C318" s="1" t="str">
        <f>OBRA!CE657</f>
        <v>2021-2024</v>
      </c>
      <c r="D318" s="1">
        <f>OBRA!K657</f>
        <v>2022</v>
      </c>
      <c r="E318" s="1644" t="str">
        <f>OBRA!P657</f>
        <v>CONVENIO</v>
      </c>
      <c r="F318" s="1644"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48">
        <f>OBRA!AT657+OBRA!AU657</f>
        <v>0</v>
      </c>
      <c r="N318" s="1">
        <f>'ADMININSTRACIÓN DIR - OBRA'!AF659</f>
        <v>0</v>
      </c>
      <c r="O318" s="1">
        <f>'ADMININSTRACIÓN DIR - OBRA'!AG659</f>
        <v>0</v>
      </c>
      <c r="P318" s="1"/>
      <c r="Q318" s="1"/>
    </row>
    <row r="319" spans="1:17" ht="45" hidden="1">
      <c r="A319" s="1"/>
      <c r="B319" s="1"/>
      <c r="C319" s="1" t="str">
        <f>OBRA!CE658</f>
        <v>2021-2024</v>
      </c>
      <c r="D319" s="1">
        <f>OBRA!K658</f>
        <v>2023</v>
      </c>
      <c r="E319" s="1644" t="str">
        <f>OBRA!P658</f>
        <v>CONVENIO</v>
      </c>
      <c r="F319" s="1644"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48">
        <f>OBRA!AT658+OBRA!AU658</f>
        <v>0</v>
      </c>
      <c r="N319" s="1">
        <f>'ADMININSTRACIÓN DIR - OBRA'!AF660</f>
        <v>0</v>
      </c>
      <c r="O319" s="1">
        <f>'ADMININSTRACIÓN DIR - OBRA'!AG660</f>
        <v>0</v>
      </c>
      <c r="P319" s="1"/>
      <c r="Q319" s="1"/>
    </row>
    <row r="320" spans="1:17" ht="45" hidden="1">
      <c r="A320" s="1"/>
      <c r="B320" s="1"/>
      <c r="C320" s="1" t="str">
        <f>OBRA!CE659</f>
        <v>2021-2024</v>
      </c>
      <c r="D320" s="1">
        <f>OBRA!K659</f>
        <v>2023</v>
      </c>
      <c r="E320" s="1644" t="str">
        <f>OBRA!P659</f>
        <v>CONVENIO</v>
      </c>
      <c r="F320" s="1644"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48">
        <f>OBRA!AT659+OBRA!AU659</f>
        <v>0</v>
      </c>
      <c r="N320" s="1">
        <f>'ADMININSTRACIÓN DIR - OBRA'!AF661</f>
        <v>0</v>
      </c>
      <c r="O320" s="1">
        <f>'ADMININSTRACIÓN DIR - OBRA'!AG661</f>
        <v>0</v>
      </c>
      <c r="P320" s="1"/>
      <c r="Q320" s="1"/>
    </row>
    <row r="321" spans="1:17" ht="45" hidden="1">
      <c r="A321" s="1"/>
      <c r="B321" s="1"/>
      <c r="C321" s="1" t="str">
        <f>OBRA!CE660</f>
        <v>2021-2024</v>
      </c>
      <c r="D321" s="1">
        <f>OBRA!K660</f>
        <v>2023</v>
      </c>
      <c r="E321" s="1644" t="str">
        <f>OBRA!P660</f>
        <v>CONVENIO</v>
      </c>
      <c r="F321" s="1644"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48">
        <f>OBRA!AT660+OBRA!AU660</f>
        <v>0</v>
      </c>
      <c r="N321" s="1">
        <f>'ADMININSTRACIÓN DIR - OBRA'!AF662</f>
        <v>0</v>
      </c>
      <c r="O321" s="1">
        <f>'ADMININSTRACIÓN DIR - OBRA'!AG662</f>
        <v>0</v>
      </c>
      <c r="P321" s="1"/>
      <c r="Q321" s="1"/>
    </row>
    <row r="322" spans="1:17" ht="75" hidden="1">
      <c r="A322" s="1"/>
      <c r="B322" s="1"/>
      <c r="C322" s="1" t="str">
        <f>OBRA!CE661</f>
        <v>2021-2024</v>
      </c>
      <c r="D322" s="1">
        <f>OBRA!K661</f>
        <v>2023</v>
      </c>
      <c r="E322" s="1644" t="str">
        <f>OBRA!P661</f>
        <v>SERVICIOS</v>
      </c>
      <c r="F322" s="1644"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48">
        <f>OBRA!AT661+OBRA!AU661</f>
        <v>0</v>
      </c>
      <c r="N322" s="1">
        <f>'ADMININSTRACIÓN DIR - OBRA'!AF663</f>
        <v>1</v>
      </c>
      <c r="O322" s="1" t="str">
        <f>'ADMININSTRACIÓN DIR - OBRA'!AG663</f>
        <v>ESTUDIO</v>
      </c>
      <c r="P322" s="1"/>
      <c r="Q322" s="1"/>
    </row>
    <row r="323" spans="1:17" ht="75" hidden="1">
      <c r="A323" s="1"/>
      <c r="B323" s="1"/>
      <c r="C323" s="1" t="str">
        <f>OBRA!CE662</f>
        <v>2021-2024</v>
      </c>
      <c r="D323" s="1">
        <f>OBRA!K662</f>
        <v>2023</v>
      </c>
      <c r="E323" s="1644" t="str">
        <f>OBRA!P662</f>
        <v>SERVICIOS</v>
      </c>
      <c r="F323" s="1644"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48">
        <f>OBRA!AT662+OBRA!AU662</f>
        <v>0</v>
      </c>
      <c r="N323" s="1">
        <f>'ADMININSTRACIÓN DIR - OBRA'!AF664</f>
        <v>1</v>
      </c>
      <c r="O323" s="1" t="str">
        <f>'ADMININSTRACIÓN DIR - OBRA'!AG664</f>
        <v>ESTUDIO</v>
      </c>
      <c r="P323" s="1"/>
      <c r="Q323" s="1"/>
    </row>
    <row r="324" spans="1:17" ht="75" hidden="1">
      <c r="A324" s="1"/>
      <c r="B324" s="1"/>
      <c r="C324" s="1" t="str">
        <f>OBRA!CE663</f>
        <v>2021-2024</v>
      </c>
      <c r="D324" s="1">
        <f>OBRA!K663</f>
        <v>2023</v>
      </c>
      <c r="E324" s="1644" t="str">
        <f>OBRA!P663</f>
        <v>SERVICIOS</v>
      </c>
      <c r="F324" s="1644"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48">
        <f>OBRA!AT663+OBRA!AU663</f>
        <v>0</v>
      </c>
      <c r="N324" s="1">
        <f>'ADMININSTRACIÓN DIR - OBRA'!AF665</f>
        <v>1</v>
      </c>
      <c r="O324" s="1" t="str">
        <f>'ADMININSTRACIÓN DIR - OBRA'!AG665</f>
        <v>ESTUDIO</v>
      </c>
      <c r="P324" s="1"/>
      <c r="Q324" s="1"/>
    </row>
    <row r="325" spans="1:17" ht="60" hidden="1">
      <c r="A325" s="1"/>
      <c r="B325" s="1"/>
      <c r="C325" s="1" t="str">
        <f>OBRA!CE664</f>
        <v>2021-2024</v>
      </c>
      <c r="D325" s="1">
        <f>OBRA!K664</f>
        <v>2023</v>
      </c>
      <c r="E325" s="1644" t="str">
        <f>OBRA!P664</f>
        <v>SERVICIOS</v>
      </c>
      <c r="F325" s="1644"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48">
        <f>OBRA!AT664+OBRA!AU664</f>
        <v>0</v>
      </c>
      <c r="N325" s="1">
        <f>'ADMININSTRACIÓN DIR - OBRA'!AF666</f>
        <v>1</v>
      </c>
      <c r="O325" s="1" t="str">
        <f>'ADMININSTRACIÓN DIR - OBRA'!AG666</f>
        <v>LEV-TOP</v>
      </c>
      <c r="P325" s="1"/>
      <c r="Q325" s="1"/>
    </row>
    <row r="326" spans="1:17" ht="60" hidden="1">
      <c r="A326" s="1"/>
      <c r="B326" s="1"/>
      <c r="C326" s="1" t="str">
        <f>OBRA!CE665</f>
        <v>2021-2024</v>
      </c>
      <c r="D326" s="1">
        <f>OBRA!K665</f>
        <v>2023</v>
      </c>
      <c r="E326" s="1644" t="str">
        <f>OBRA!P665</f>
        <v>SERVICIOS</v>
      </c>
      <c r="F326" s="1644"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48">
        <f>OBRA!AT665+OBRA!AU665</f>
        <v>0</v>
      </c>
      <c r="N326" s="1">
        <f>'ADMININSTRACIÓN DIR - OBRA'!AF667</f>
        <v>1</v>
      </c>
      <c r="O326" s="1" t="str">
        <f>'ADMININSTRACIÓN DIR - OBRA'!AG667</f>
        <v>LEV-TOP</v>
      </c>
      <c r="P326" s="1"/>
      <c r="Q326" s="1"/>
    </row>
    <row r="327" spans="1:17" ht="75" hidden="1">
      <c r="A327" s="1"/>
      <c r="B327" s="1"/>
      <c r="C327" s="1" t="str">
        <f>OBRA!CE666</f>
        <v>2021-2024</v>
      </c>
      <c r="D327" s="1">
        <f>OBRA!K666</f>
        <v>2023</v>
      </c>
      <c r="E327" s="1644" t="str">
        <f>OBRA!P666</f>
        <v>SERVICIOS</v>
      </c>
      <c r="F327" s="1644"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48">
        <f>OBRA!AT666+OBRA!AU666</f>
        <v>0</v>
      </c>
      <c r="N327" s="1">
        <f>'ADMININSTRACIÓN DIR - OBRA'!AF668</f>
        <v>1</v>
      </c>
      <c r="O327" s="1" t="str">
        <f>'ADMININSTRACIÓN DIR - OBRA'!AG668</f>
        <v>LOTE</v>
      </c>
      <c r="P327" s="1"/>
      <c r="Q327" s="1"/>
    </row>
    <row r="328" spans="1:17" ht="75" hidden="1">
      <c r="A328" s="1"/>
      <c r="B328" s="1"/>
      <c r="C328" s="1" t="str">
        <f>OBRA!CE667</f>
        <v>2021-2024</v>
      </c>
      <c r="D328" s="1">
        <f>OBRA!K667</f>
        <v>2023</v>
      </c>
      <c r="E328" s="1644" t="str">
        <f>OBRA!P667</f>
        <v>SERVICIOS</v>
      </c>
      <c r="F328" s="1644"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48">
        <f>OBRA!AT667+OBRA!AU667</f>
        <v>0</v>
      </c>
      <c r="N328" s="1">
        <f>'ADMININSTRACIÓN DIR - OBRA'!AF669</f>
        <v>1</v>
      </c>
      <c r="O328" s="1" t="str">
        <f>'ADMININSTRACIÓN DIR - OBRA'!AG669</f>
        <v>LOTE</v>
      </c>
      <c r="P328" s="1"/>
      <c r="Q328" s="1"/>
    </row>
    <row r="329" spans="1:17" ht="105" hidden="1">
      <c r="A329" s="1"/>
      <c r="B329" s="1"/>
      <c r="C329" s="1" t="str">
        <f>OBRA!CE668</f>
        <v>2021-2024</v>
      </c>
      <c r="D329" s="1">
        <f>OBRA!K668</f>
        <v>2023</v>
      </c>
      <c r="E329" s="1644" t="str">
        <f>OBRA!P668</f>
        <v>SERVICIOS</v>
      </c>
      <c r="F329" s="1644"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48">
        <f>OBRA!AT668+OBRA!AU668</f>
        <v>0</v>
      </c>
      <c r="N329" s="1">
        <f>'ADMININSTRACIÓN DIR - OBRA'!AF670</f>
        <v>1</v>
      </c>
      <c r="O329" s="1" t="str">
        <f>'ADMININSTRACIÓN DIR - OBRA'!AG670</f>
        <v>ESTUDIO</v>
      </c>
      <c r="P329" s="1"/>
      <c r="Q329" s="1"/>
    </row>
    <row r="330" spans="1:17" ht="120" hidden="1">
      <c r="A330" s="1"/>
      <c r="B330" s="1"/>
      <c r="C330" s="1" t="str">
        <f>OBRA!CE669</f>
        <v>2021-2024</v>
      </c>
      <c r="D330" s="1">
        <f>OBRA!K669</f>
        <v>2023</v>
      </c>
      <c r="E330" s="1644" t="str">
        <f>OBRA!P669</f>
        <v>SERVICIOS</v>
      </c>
      <c r="F330" s="1644"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48">
        <f>OBRA!AT669+OBRA!AU669</f>
        <v>0</v>
      </c>
      <c r="N330" s="1">
        <f>'ADMININSTRACIÓN DIR - OBRA'!AF671</f>
        <v>1</v>
      </c>
      <c r="O330" s="1" t="str">
        <f>'ADMININSTRACIÓN DIR - OBRA'!AG671</f>
        <v>ESTUDIO</v>
      </c>
      <c r="P330" s="1"/>
      <c r="Q330" s="1"/>
    </row>
    <row r="331" spans="1:17" ht="105" hidden="1">
      <c r="A331" s="1"/>
      <c r="B331" s="1"/>
      <c r="C331" s="1" t="str">
        <f>OBRA!CE670</f>
        <v>2021-2024</v>
      </c>
      <c r="D331" s="1">
        <f>OBRA!K670</f>
        <v>2023</v>
      </c>
      <c r="E331" s="1644" t="str">
        <f>OBRA!P670</f>
        <v>SERVICIOS</v>
      </c>
      <c r="F331" s="1644"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48">
        <f>OBRA!AT670+OBRA!AU670</f>
        <v>0</v>
      </c>
      <c r="N331" s="1">
        <f>'ADMININSTRACIÓN DIR - OBRA'!AF672</f>
        <v>1</v>
      </c>
      <c r="O331" s="1" t="str">
        <f>'ADMININSTRACIÓN DIR - OBRA'!AG672</f>
        <v>ESTUDIO</v>
      </c>
      <c r="P331" s="1"/>
      <c r="Q331" s="1"/>
    </row>
    <row r="332" spans="1:17" hidden="1">
      <c r="A332" s="1"/>
      <c r="B332" s="1"/>
      <c r="C332" s="1" t="e">
        <f>OBRA!#REF!</f>
        <v>#REF!</v>
      </c>
      <c r="D332" s="1" t="e">
        <f>OBRA!#REF!</f>
        <v>#REF!</v>
      </c>
      <c r="E332" s="1644" t="e">
        <f>OBRA!#REF!</f>
        <v>#REF!</v>
      </c>
      <c r="F332" s="1644" t="e">
        <f>OBRA!#REF!</f>
        <v>#REF!</v>
      </c>
      <c r="G332" s="3" t="e">
        <f>OBRA!#REF!</f>
        <v>#REF!</v>
      </c>
      <c r="H332" s="1"/>
      <c r="I332" s="3" t="e">
        <f>OBRA!#REF!</f>
        <v>#REF!</v>
      </c>
      <c r="J332" s="3"/>
      <c r="K332" s="3"/>
      <c r="L332" s="3"/>
      <c r="M332" s="1648" t="e">
        <f>OBRA!#REF!+OBRA!#REF!</f>
        <v>#REF!</v>
      </c>
      <c r="N332" s="1" t="e">
        <f>'ADMININSTRACIÓN DIR - OBRA'!#REF!</f>
        <v>#REF!</v>
      </c>
      <c r="O332" s="1" t="e">
        <f>'ADMININSTRACIÓN DIR - OBRA'!#REF!</f>
        <v>#REF!</v>
      </c>
      <c r="P332" s="1"/>
      <c r="Q332" s="1"/>
    </row>
    <row r="333" spans="1:17" hidden="1">
      <c r="A333" s="1"/>
      <c r="B333" s="1"/>
      <c r="C333" s="1" t="e">
        <f>OBRA!#REF!</f>
        <v>#REF!</v>
      </c>
      <c r="D333" s="1" t="e">
        <f>OBRA!#REF!</f>
        <v>#REF!</v>
      </c>
      <c r="E333" s="1644" t="e">
        <f>OBRA!#REF!</f>
        <v>#REF!</v>
      </c>
      <c r="F333" s="1644" t="e">
        <f>OBRA!#REF!</f>
        <v>#REF!</v>
      </c>
      <c r="G333" s="3" t="e">
        <f>OBRA!#REF!</f>
        <v>#REF!</v>
      </c>
      <c r="H333" s="1"/>
      <c r="I333" s="3" t="e">
        <f>OBRA!#REF!</f>
        <v>#REF!</v>
      </c>
      <c r="J333" s="3"/>
      <c r="K333" s="3"/>
      <c r="L333" s="3"/>
      <c r="M333" s="1648" t="e">
        <f>OBRA!#REF!+OBRA!#REF!</f>
        <v>#REF!</v>
      </c>
      <c r="N333" s="1" t="e">
        <f>'ADMININSTRACIÓN DIR - OBRA'!#REF!</f>
        <v>#REF!</v>
      </c>
      <c r="O333" s="1" t="e">
        <f>'ADMININSTRACIÓN DIR - OBRA'!#REF!</f>
        <v>#REF!</v>
      </c>
      <c r="P333" s="1"/>
      <c r="Q333" s="1"/>
    </row>
    <row r="334" spans="1:17" hidden="1">
      <c r="A334" s="1"/>
      <c r="B334" s="1"/>
      <c r="C334" s="1" t="e">
        <f>OBRA!#REF!</f>
        <v>#REF!</v>
      </c>
      <c r="D334" s="1" t="e">
        <f>OBRA!#REF!</f>
        <v>#REF!</v>
      </c>
      <c r="E334" s="1644" t="e">
        <f>OBRA!#REF!</f>
        <v>#REF!</v>
      </c>
      <c r="F334" s="1644" t="e">
        <f>OBRA!#REF!</f>
        <v>#REF!</v>
      </c>
      <c r="G334" s="3" t="e">
        <f>OBRA!#REF!</f>
        <v>#REF!</v>
      </c>
      <c r="H334" s="1"/>
      <c r="I334" s="3" t="e">
        <f>OBRA!#REF!</f>
        <v>#REF!</v>
      </c>
      <c r="J334" s="3"/>
      <c r="K334" s="3"/>
      <c r="L334" s="3"/>
      <c r="M334" s="1648" t="e">
        <f>OBRA!#REF!+OBRA!#REF!</f>
        <v>#REF!</v>
      </c>
      <c r="N334" s="1" t="e">
        <f>'ADMININSTRACIÓN DIR - OBRA'!#REF!</f>
        <v>#REF!</v>
      </c>
      <c r="O334" s="1" t="e">
        <f>'ADMININSTRACIÓN DIR - OBRA'!#REF!</f>
        <v>#REF!</v>
      </c>
      <c r="P334" s="1"/>
      <c r="Q334" s="1"/>
    </row>
    <row r="335" spans="1:17" hidden="1">
      <c r="A335" s="1"/>
      <c r="B335" s="1"/>
      <c r="C335" s="1" t="e">
        <f>OBRA!#REF!</f>
        <v>#REF!</v>
      </c>
      <c r="D335" s="1" t="e">
        <f>OBRA!#REF!</f>
        <v>#REF!</v>
      </c>
      <c r="E335" s="1644" t="e">
        <f>OBRA!#REF!</f>
        <v>#REF!</v>
      </c>
      <c r="F335" s="1644" t="e">
        <f>OBRA!#REF!</f>
        <v>#REF!</v>
      </c>
      <c r="G335" s="3" t="e">
        <f>OBRA!#REF!</f>
        <v>#REF!</v>
      </c>
      <c r="H335" s="1"/>
      <c r="I335" s="3" t="e">
        <f>OBRA!#REF!</f>
        <v>#REF!</v>
      </c>
      <c r="J335" s="3"/>
      <c r="K335" s="3"/>
      <c r="L335" s="3"/>
      <c r="M335" s="1648" t="e">
        <f>OBRA!#REF!+OBRA!#REF!</f>
        <v>#REF!</v>
      </c>
      <c r="N335" s="1" t="e">
        <f>'ADMININSTRACIÓN DIR - OBRA'!#REF!</f>
        <v>#REF!</v>
      </c>
      <c r="O335" s="1" t="e">
        <f>'ADMININSTRACIÓN DIR - OBRA'!#REF!</f>
        <v>#REF!</v>
      </c>
      <c r="P335" s="1"/>
      <c r="Q335" s="1"/>
    </row>
    <row r="336" spans="1:17" hidden="1">
      <c r="A336" s="1"/>
      <c r="B336" s="1"/>
      <c r="C336" s="1" t="e">
        <f>OBRA!#REF!</f>
        <v>#REF!</v>
      </c>
      <c r="D336" s="1" t="e">
        <f>OBRA!#REF!</f>
        <v>#REF!</v>
      </c>
      <c r="E336" s="1644" t="e">
        <f>OBRA!#REF!</f>
        <v>#REF!</v>
      </c>
      <c r="F336" s="1644" t="e">
        <f>OBRA!#REF!</f>
        <v>#REF!</v>
      </c>
      <c r="G336" s="3" t="e">
        <f>OBRA!#REF!</f>
        <v>#REF!</v>
      </c>
      <c r="H336" s="1"/>
      <c r="I336" s="3" t="e">
        <f>OBRA!#REF!</f>
        <v>#REF!</v>
      </c>
      <c r="J336" s="3"/>
      <c r="K336" s="3"/>
      <c r="L336" s="3"/>
      <c r="M336" s="1648" t="e">
        <f>OBRA!#REF!+OBRA!#REF!</f>
        <v>#REF!</v>
      </c>
      <c r="N336" s="1" t="e">
        <f>'ADMININSTRACIÓN DIR - OBRA'!#REF!</f>
        <v>#REF!</v>
      </c>
      <c r="O336" s="1" t="e">
        <f>'ADMININSTRACIÓN DIR - OBRA'!#REF!</f>
        <v>#REF!</v>
      </c>
      <c r="P336" s="1"/>
      <c r="Q336" s="1"/>
    </row>
    <row r="337" spans="1:17" hidden="1">
      <c r="A337" s="1"/>
      <c r="B337" s="1"/>
      <c r="C337" s="1" t="e">
        <f>OBRA!#REF!</f>
        <v>#REF!</v>
      </c>
      <c r="D337" s="1" t="e">
        <f>OBRA!#REF!</f>
        <v>#REF!</v>
      </c>
      <c r="E337" s="1644" t="e">
        <f>OBRA!#REF!</f>
        <v>#REF!</v>
      </c>
      <c r="F337" s="1644" t="e">
        <f>OBRA!#REF!</f>
        <v>#REF!</v>
      </c>
      <c r="G337" s="3" t="e">
        <f>OBRA!#REF!</f>
        <v>#REF!</v>
      </c>
      <c r="H337" s="1"/>
      <c r="I337" s="3" t="e">
        <f>OBRA!#REF!</f>
        <v>#REF!</v>
      </c>
      <c r="J337" s="3"/>
      <c r="K337" s="3"/>
      <c r="L337" s="3"/>
      <c r="M337" s="1648" t="e">
        <f>OBRA!#REF!+OBRA!#REF!</f>
        <v>#REF!</v>
      </c>
      <c r="N337" s="1" t="e">
        <f>'ADMININSTRACIÓN DIR - OBRA'!#REF!</f>
        <v>#REF!</v>
      </c>
      <c r="O337" s="1" t="e">
        <f>'ADMININSTRACIÓN DIR - OBRA'!#REF!</f>
        <v>#REF!</v>
      </c>
      <c r="P337" s="1"/>
      <c r="Q337" s="1"/>
    </row>
    <row r="338" spans="1:17" ht="90" hidden="1">
      <c r="A338" s="1"/>
      <c r="B338" s="1"/>
      <c r="C338" s="1" t="str">
        <f>OBRA!CE698</f>
        <v>2021-2024</v>
      </c>
      <c r="D338" s="1">
        <f>OBRA!K698</f>
        <v>2023</v>
      </c>
      <c r="E338" s="1644" t="str">
        <f>OBRA!P698</f>
        <v>SERVICIOS</v>
      </c>
      <c r="F338" s="1644"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48">
        <f>OBRA!AT698+OBRA!AU698</f>
        <v>0</v>
      </c>
      <c r="N338" s="1">
        <f>'ADMININSTRACIÓN DIR - OBRA'!AF700</f>
        <v>1</v>
      </c>
      <c r="O338" s="1" t="str">
        <f>'ADMININSTRACIÓN DIR - OBRA'!AG700</f>
        <v>ESTUDIO</v>
      </c>
      <c r="P338" s="1"/>
      <c r="Q338" s="1"/>
    </row>
    <row r="339" spans="1:17" ht="60" hidden="1">
      <c r="A339" s="1"/>
      <c r="B339" s="1"/>
      <c r="C339" s="1" t="str">
        <f>OBRA!CE701</f>
        <v>2021-2024</v>
      </c>
      <c r="D339" s="1">
        <f>OBRA!K701</f>
        <v>2023</v>
      </c>
      <c r="E339" s="1644" t="str">
        <f>OBRA!P701</f>
        <v>ARRENDAMIENTO</v>
      </c>
      <c r="F339" s="1644"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48">
        <f>OBRA!AT701+OBRA!AU701</f>
        <v>0</v>
      </c>
      <c r="N339" s="1">
        <f>'ADMININSTRACIÓN DIR - OBRA'!AF703</f>
        <v>1</v>
      </c>
      <c r="O339" s="1" t="str">
        <f>'ADMININSTRACIÓN DIR - OBRA'!AG703</f>
        <v>MAQ</v>
      </c>
      <c r="P339" s="1"/>
      <c r="Q339" s="1"/>
    </row>
    <row r="340" spans="1:17" ht="60" hidden="1">
      <c r="A340" s="1"/>
      <c r="B340" s="1"/>
      <c r="C340" s="1" t="str">
        <f>OBRA!CE702</f>
        <v>2021-2024</v>
      </c>
      <c r="D340" s="1">
        <f>OBRA!K702</f>
        <v>2023</v>
      </c>
      <c r="E340" s="1644" t="str">
        <f>OBRA!P702</f>
        <v>ARRENDAMIENTO</v>
      </c>
      <c r="F340" s="1644"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48">
        <f>OBRA!AT702+OBRA!AU702</f>
        <v>0</v>
      </c>
      <c r="N340" s="1">
        <f>'ADMININSTRACIÓN DIR - OBRA'!AF704</f>
        <v>1</v>
      </c>
      <c r="O340" s="1" t="str">
        <f>'ADMININSTRACIÓN DIR - OBRA'!AG704</f>
        <v>MAQ</v>
      </c>
      <c r="P340" s="1"/>
      <c r="Q340" s="1"/>
    </row>
    <row r="341" spans="1:17" ht="75" hidden="1">
      <c r="A341" s="1"/>
      <c r="B341" s="1"/>
      <c r="C341" s="1" t="str">
        <f>OBRA!CE703</f>
        <v>2021-2024</v>
      </c>
      <c r="D341" s="1">
        <f>OBRA!K703</f>
        <v>2023</v>
      </c>
      <c r="E341" s="1644" t="str">
        <f>OBRA!P703</f>
        <v>ARRENDAMIENTO</v>
      </c>
      <c r="F341" s="1644"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48">
        <f>OBRA!AT703+OBRA!AU703</f>
        <v>0</v>
      </c>
      <c r="N341" s="1">
        <f>'ADMININSTRACIÓN DIR - OBRA'!AF705</f>
        <v>1</v>
      </c>
      <c r="O341" s="1" t="str">
        <f>'ADMININSTRACIÓN DIR - OBRA'!AG705</f>
        <v>MAQ</v>
      </c>
      <c r="P341" s="1"/>
      <c r="Q341" s="1"/>
    </row>
    <row r="342" spans="1:17" ht="60" hidden="1">
      <c r="A342" s="1"/>
      <c r="B342" s="1"/>
      <c r="C342" s="1" t="str">
        <f>OBRA!CE704</f>
        <v>2021-2024</v>
      </c>
      <c r="D342" s="1">
        <f>OBRA!K704</f>
        <v>2023</v>
      </c>
      <c r="E342" s="1644" t="str">
        <f>OBRA!P704</f>
        <v>ARRENDAMIENTO</v>
      </c>
      <c r="F342" s="1644"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48">
        <f>OBRA!AT704+OBRA!AU704</f>
        <v>0</v>
      </c>
      <c r="N342" s="1">
        <f>'ADMININSTRACIÓN DIR - OBRA'!AF706</f>
        <v>1</v>
      </c>
      <c r="O342" s="1" t="str">
        <f>'ADMININSTRACIÓN DIR - OBRA'!AG706</f>
        <v>MAQ</v>
      </c>
      <c r="P342" s="1"/>
      <c r="Q342" s="1"/>
    </row>
    <row r="343" spans="1:17" ht="67.5" customHeight="1">
      <c r="A343" s="1"/>
      <c r="B343" s="1"/>
      <c r="C343" s="1" t="str">
        <f>OBRA!CE718</f>
        <v>2021-2024</v>
      </c>
      <c r="D343" s="1">
        <f>OBRA!K718</f>
        <v>2023</v>
      </c>
      <c r="E343" s="1644" t="str">
        <f>OBRA!P718</f>
        <v>ARRENDAMIENTO</v>
      </c>
      <c r="F343" s="1644" t="str">
        <f>OBRA!O718</f>
        <v>C- OP 015/2023</v>
      </c>
      <c r="G343" s="3" t="str">
        <f>OBRA!Q718</f>
        <v>RENTA DE UNA RETROEXCAVADORA JHON DEERE 310SJ 4X4, PARA SER UTILIZADA EN DIVERSOS MANTENIMIENTOS REQUERIDOS POR LA DIRECCIÓN DE OBRAS PÚBLICAS DEL GOBIERNO MUNICIPAL DE JOCOTEPEC, JALISCO.</v>
      </c>
      <c r="H343" s="1644" t="s">
        <v>4756</v>
      </c>
      <c r="I343" s="3" t="str">
        <f>OBRA!R718</f>
        <v>MUNICIPIO</v>
      </c>
      <c r="J343" s="3" t="s">
        <v>5412</v>
      </c>
      <c r="K343" s="3" t="s">
        <v>4832</v>
      </c>
      <c r="L343" s="3" t="s">
        <v>2622</v>
      </c>
      <c r="M343" s="1648">
        <f>OBRA!AT718+OBRA!AU718</f>
        <v>0</v>
      </c>
      <c r="N343" s="1">
        <f>'ADMININSTRACIÓN DIR - OBRA'!AF720</f>
        <v>1</v>
      </c>
      <c r="O343" s="1" t="str">
        <f>'ADMININSTRACIÓN DIR - OBRA'!AG720</f>
        <v>MAQ</v>
      </c>
      <c r="P343" s="1"/>
      <c r="Q343" s="2"/>
    </row>
    <row r="344" spans="1:17" ht="105" hidden="1">
      <c r="A344" s="1"/>
      <c r="B344" s="1"/>
      <c r="C344" s="1" t="str">
        <f>OBRA!CE719</f>
        <v>2021-2024</v>
      </c>
      <c r="D344" s="1">
        <f>OBRA!K719</f>
        <v>2023</v>
      </c>
      <c r="E344" s="1644" t="str">
        <f>OBRA!P719</f>
        <v>ARRENDAMIENTO</v>
      </c>
      <c r="F344" s="1644"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48">
        <f>OBRA!AT719+OBRA!AU719</f>
        <v>0</v>
      </c>
      <c r="N344" s="1">
        <f>'ADMININSTRACIÓN DIR - OBRA'!AF721</f>
        <v>2</v>
      </c>
      <c r="O344" s="1" t="str">
        <f>'ADMININSTRACIÓN DIR - OBRA'!AG721</f>
        <v>MAQ</v>
      </c>
      <c r="P344" s="1"/>
      <c r="Q344" s="1"/>
    </row>
    <row r="345" spans="1:17" ht="60" hidden="1">
      <c r="A345" s="1"/>
      <c r="B345" s="1"/>
      <c r="C345" s="1" t="str">
        <f>OBRA!CE720</f>
        <v>2021-2024</v>
      </c>
      <c r="D345" s="1">
        <f>OBRA!K720</f>
        <v>2023</v>
      </c>
      <c r="E345" s="1644" t="str">
        <f>OBRA!P720</f>
        <v>ARRENDAMIENTO</v>
      </c>
      <c r="F345" s="1644"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48">
        <f>OBRA!AT720+OBRA!AU720</f>
        <v>0</v>
      </c>
      <c r="N345" s="1">
        <f>'ADMININSTRACIÓN DIR - OBRA'!AF722</f>
        <v>1</v>
      </c>
      <c r="O345" s="1" t="str">
        <f>'ADMININSTRACIÓN DIR - OBRA'!AG722</f>
        <v>MAQ</v>
      </c>
      <c r="P345" s="1"/>
      <c r="Q345" s="1"/>
    </row>
    <row r="346" spans="1:17" ht="60" hidden="1">
      <c r="A346" s="1"/>
      <c r="B346" s="1"/>
      <c r="C346" s="1" t="str">
        <f>OBRA!CE721</f>
        <v>2021-2024</v>
      </c>
      <c r="D346" s="1">
        <f>OBRA!K721</f>
        <v>2023</v>
      </c>
      <c r="E346" s="1644" t="str">
        <f>OBRA!P721</f>
        <v>ARRENDAMIENTO</v>
      </c>
      <c r="F346" s="1644"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48">
        <f>OBRA!AT721+OBRA!AU721</f>
        <v>0</v>
      </c>
      <c r="N346" s="1">
        <f>'ADMININSTRACIÓN DIR - OBRA'!AF723</f>
        <v>1</v>
      </c>
      <c r="O346" s="1" t="str">
        <f>'ADMININSTRACIÓN DIR - OBRA'!AG723</f>
        <v>MAQ</v>
      </c>
      <c r="P346" s="1"/>
      <c r="Q346" s="1"/>
    </row>
    <row r="347" spans="1:17" ht="60" hidden="1">
      <c r="A347" s="1"/>
      <c r="B347" s="1"/>
      <c r="C347" s="1" t="str">
        <f>OBRA!CE722</f>
        <v>2021-2024</v>
      </c>
      <c r="D347" s="1">
        <f>OBRA!K722</f>
        <v>2023</v>
      </c>
      <c r="E347" s="1644" t="str">
        <f>OBRA!P722</f>
        <v>ARRENDAMIENTO</v>
      </c>
      <c r="F347" s="1644"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48">
        <f>OBRA!AT722+OBRA!AU722</f>
        <v>0</v>
      </c>
      <c r="N347" s="1">
        <f>'ADMININSTRACIÓN DIR - OBRA'!AF724</f>
        <v>1</v>
      </c>
      <c r="O347" s="1" t="str">
        <f>'ADMININSTRACIÓN DIR - OBRA'!AG724</f>
        <v>MAQ</v>
      </c>
      <c r="P347" s="1"/>
      <c r="Q347" s="1"/>
    </row>
    <row r="348" spans="1:17" ht="75" hidden="1">
      <c r="A348" s="1"/>
      <c r="B348" s="1"/>
      <c r="C348" s="1" t="str">
        <f>OBRA!CE723</f>
        <v>2021-2024</v>
      </c>
      <c r="D348" s="1">
        <f>OBRA!K723</f>
        <v>2023</v>
      </c>
      <c r="E348" s="1644" t="str">
        <f>OBRA!P723</f>
        <v>ARRENDAMIENTO</v>
      </c>
      <c r="F348" s="1644"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48">
        <f>OBRA!AT723+OBRA!AU723</f>
        <v>0</v>
      </c>
      <c r="N348" s="1">
        <f>'ADMININSTRACIÓN DIR - OBRA'!AF725</f>
        <v>1</v>
      </c>
      <c r="O348" s="1" t="str">
        <f>'ADMININSTRACIÓN DIR - OBRA'!AG725</f>
        <v>MAQ</v>
      </c>
      <c r="P348" s="1"/>
      <c r="Q348" s="1"/>
    </row>
    <row r="349" spans="1:17" ht="75" hidden="1">
      <c r="A349" s="1"/>
      <c r="B349" s="1"/>
      <c r="C349" s="1" t="str">
        <f>OBRA!CE724</f>
        <v>2021-2024</v>
      </c>
      <c r="D349" s="1">
        <f>OBRA!K724</f>
        <v>2023</v>
      </c>
      <c r="E349" s="1644" t="str">
        <f>OBRA!P724</f>
        <v>ARRENDAMIENTO</v>
      </c>
      <c r="F349" s="1644"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48">
        <f>OBRA!AT724+OBRA!AU724</f>
        <v>0</v>
      </c>
      <c r="N349" s="1">
        <f>'ADMININSTRACIÓN DIR - OBRA'!AF726</f>
        <v>1</v>
      </c>
      <c r="O349" s="1" t="str">
        <f>'ADMININSTRACIÓN DIR - OBRA'!AG726</f>
        <v>MAQ</v>
      </c>
      <c r="P349" s="1"/>
      <c r="Q349" s="1"/>
    </row>
    <row r="350" spans="1:17" ht="75" hidden="1">
      <c r="A350" s="1"/>
      <c r="B350" s="1"/>
      <c r="C350" s="1" t="str">
        <f>OBRA!CE725</f>
        <v>2021-2024</v>
      </c>
      <c r="D350" s="1">
        <f>OBRA!K725</f>
        <v>2023</v>
      </c>
      <c r="E350" s="1644" t="str">
        <f>OBRA!P725</f>
        <v>ARRENDAMIENTO</v>
      </c>
      <c r="F350" s="1644"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48">
        <f>OBRA!AT725+OBRA!AU725</f>
        <v>0</v>
      </c>
      <c r="N350" s="1">
        <f>'ADMININSTRACIÓN DIR - OBRA'!AF727</f>
        <v>1</v>
      </c>
      <c r="O350" s="1" t="str">
        <f>'ADMININSTRACIÓN DIR - OBRA'!AG727</f>
        <v>EQUIPO</v>
      </c>
      <c r="P350" s="1"/>
      <c r="Q350" s="1"/>
    </row>
    <row r="351" spans="1:17" ht="75" hidden="1">
      <c r="A351" s="1"/>
      <c r="B351" s="1"/>
      <c r="C351" s="1" t="str">
        <f>OBRA!CE726</f>
        <v>2021-2024</v>
      </c>
      <c r="D351" s="1">
        <f>OBRA!K726</f>
        <v>2023</v>
      </c>
      <c r="E351" s="1644" t="str">
        <f>OBRA!P726</f>
        <v>ARRENDAMIENTO</v>
      </c>
      <c r="F351" s="1644"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48">
        <f>OBRA!AT726+OBRA!AU726</f>
        <v>0</v>
      </c>
      <c r="N351" s="1">
        <f>'ADMININSTRACIÓN DIR - OBRA'!AF728</f>
        <v>1</v>
      </c>
      <c r="O351" s="1" t="str">
        <f>'ADMININSTRACIÓN DIR - OBRA'!AG728</f>
        <v>EQUIPO</v>
      </c>
      <c r="P351" s="1"/>
      <c r="Q351" s="1"/>
    </row>
    <row r="352" spans="1:17" ht="22.5" hidden="1">
      <c r="A352" s="1"/>
      <c r="B352" s="1"/>
      <c r="C352" s="1" t="str">
        <f>OBRA!CE727</f>
        <v>2021-2024</v>
      </c>
      <c r="D352" s="1">
        <f>OBRA!K727</f>
        <v>2023</v>
      </c>
      <c r="E352" s="1644" t="str">
        <f>OBRA!P727</f>
        <v>CANCELADA</v>
      </c>
      <c r="F352" s="1644" t="str">
        <f>OBRA!O727</f>
        <v>C.P.S.P. DOP 037/2023</v>
      </c>
      <c r="G352" s="3" t="str">
        <f>OBRA!Q727</f>
        <v>-</v>
      </c>
      <c r="H352" s="1"/>
      <c r="I352" s="3" t="str">
        <f>OBRA!R727</f>
        <v>-</v>
      </c>
      <c r="J352" s="3"/>
      <c r="K352" s="3"/>
      <c r="L352" s="3"/>
      <c r="M352" s="1648">
        <f>OBRA!AT727+OBRA!AU727</f>
        <v>0</v>
      </c>
      <c r="N352" s="1">
        <f>'ADMININSTRACIÓN DIR - OBRA'!AF729</f>
        <v>0</v>
      </c>
      <c r="O352" s="1">
        <f>'ADMININSTRACIÓN DIR - OBRA'!AG729</f>
        <v>0</v>
      </c>
      <c r="P352" s="1"/>
      <c r="Q352" s="1"/>
    </row>
    <row r="353" spans="1:17" ht="45">
      <c r="A353" s="1"/>
      <c r="B353" s="1"/>
      <c r="C353" s="1" t="str">
        <f>OBRA!CE728</f>
        <v>2021-2024</v>
      </c>
      <c r="D353" s="1">
        <f>OBRA!K728</f>
        <v>2023</v>
      </c>
      <c r="E353" s="1644" t="str">
        <f>OBRA!P728</f>
        <v>ADMINISTRACIÓN DIRECTA</v>
      </c>
      <c r="F353" s="1644" t="str">
        <f>OBRA!O728</f>
        <v>DOP/AD/001/2023</v>
      </c>
      <c r="G353" s="3" t="str">
        <f>OBRA!Q728</f>
        <v>"CONSTRUCCIÓN DE REDES HIDROSANITARIAS EN CALLE FILÓSOFOS ENTRE CALLE JOSEFA ORTÍZ DE DOMINGUEZ E HIDALGO", EN LA CABECERA MUNICIPAL DE JOCOTEPEC, JALISCO</v>
      </c>
      <c r="H353" s="1644" t="s">
        <v>4756</v>
      </c>
      <c r="I353" s="3" t="str">
        <f>OBRA!R728</f>
        <v>CABECERA MUNICIPAL</v>
      </c>
      <c r="J353" s="3" t="s">
        <v>5413</v>
      </c>
      <c r="K353" s="3" t="s">
        <v>4771</v>
      </c>
      <c r="L353" s="3" t="s">
        <v>4772</v>
      </c>
      <c r="M353" s="1648">
        <f>OBRA!AT728+OBRA!AU728</f>
        <v>300805.58</v>
      </c>
      <c r="N353" s="1">
        <f>'ADMININSTRACIÓN DIR - OBRA'!AF730</f>
        <v>148.92000000000002</v>
      </c>
      <c r="O353" s="1" t="str">
        <f>'ADMININSTRACIÓN DIR - OBRA'!AG730</f>
        <v>ML</v>
      </c>
      <c r="P353" s="1"/>
      <c r="Q353" s="2" t="s">
        <v>5418</v>
      </c>
    </row>
    <row r="354" spans="1:17" ht="45">
      <c r="A354" s="1"/>
      <c r="B354" s="1"/>
      <c r="C354" s="1" t="str">
        <f>OBRA!CE729</f>
        <v>2021-2024</v>
      </c>
      <c r="D354" s="1">
        <f>OBRA!K729</f>
        <v>2023</v>
      </c>
      <c r="E354" s="1644" t="str">
        <f>OBRA!P729</f>
        <v>ADMINISTRACIÓN DIRECTA</v>
      </c>
      <c r="F354" s="1644" t="str">
        <f>OBRA!O729</f>
        <v>DOP/AD/002/2023</v>
      </c>
      <c r="G354" s="3" t="str">
        <f>OBRA!Q729</f>
        <v>"BACHEO SUPERFICIAL AISLADO EN CALLE INDEPENDENCIA NORTE ENTRE C. MORELOS Y C. DEGOLLADO", EN LA CABECERA MUNICIPAL DE JOCOTEPEC, JALISCO.</v>
      </c>
      <c r="H354" s="1644" t="s">
        <v>4755</v>
      </c>
      <c r="I354" s="3" t="str">
        <f>OBRA!R729</f>
        <v>CABECERA MUNICIPAL</v>
      </c>
      <c r="J354" s="3" t="s">
        <v>5413</v>
      </c>
      <c r="K354" s="3" t="s">
        <v>4771</v>
      </c>
      <c r="L354" s="3" t="s">
        <v>4772</v>
      </c>
      <c r="M354" s="1648">
        <f>OBRA!AT729+OBRA!AU729</f>
        <v>27472.5</v>
      </c>
      <c r="N354" s="1">
        <f>'ADMININSTRACIÓN DIR - OBRA'!AF731</f>
        <v>6.4</v>
      </c>
      <c r="O354" s="1" t="str">
        <f>'ADMININSTRACIÓN DIR - OBRA'!AG731</f>
        <v>M2</v>
      </c>
      <c r="P354" s="1"/>
      <c r="Q354" s="2"/>
    </row>
    <row r="355" spans="1:17" ht="60">
      <c r="A355" s="1"/>
      <c r="B355" s="1"/>
      <c r="C355" s="1" t="str">
        <f>OBRA!CE730</f>
        <v>2021-2024</v>
      </c>
      <c r="D355" s="1">
        <f>OBRA!K730</f>
        <v>2023</v>
      </c>
      <c r="E355" s="1644" t="str">
        <f>OBRA!P730</f>
        <v>ADMINISTRACIÓN DIRECTA</v>
      </c>
      <c r="F355" s="1644" t="str">
        <f>OBRA!O730</f>
        <v>DOP/AD/003/2023</v>
      </c>
      <c r="G355" s="3" t="str">
        <f>OBRA!Q730</f>
        <v>REHABILITACIÓN DE REDES HIDROSANITARIAS Y COLECTOR DE CALLE RIVERA DEL LAGO ENTRE CALLE GUAYABITOS Y CALLE CHUECA", EN LA LOCALIDAD DE CHANTEPEC, MUNICIPIO DE JOCOTEPEC, JALISCO.</v>
      </c>
      <c r="H355" s="1644" t="s">
        <v>4759</v>
      </c>
      <c r="I355" s="3" t="str">
        <f>OBRA!R730</f>
        <v>CHANTEPEC</v>
      </c>
      <c r="J355" s="3" t="s">
        <v>5413</v>
      </c>
      <c r="K355" s="3" t="s">
        <v>4772</v>
      </c>
      <c r="L355" s="3" t="s">
        <v>2499</v>
      </c>
      <c r="M355" s="1648">
        <f>OBRA!AT730+OBRA!AU730</f>
        <v>336906.02</v>
      </c>
      <c r="N355" s="1">
        <f>'ADMININSTRACIÓN DIR - OBRA'!AF732</f>
        <v>154.22</v>
      </c>
      <c r="O355" s="1" t="str">
        <f>'ADMININSTRACIÓN DIR - OBRA'!AG732</f>
        <v>ML</v>
      </c>
      <c r="P355" s="1"/>
      <c r="Q355" s="2"/>
    </row>
    <row r="356" spans="1:17" ht="30">
      <c r="A356" s="1"/>
      <c r="B356" s="1"/>
      <c r="C356" s="1" t="str">
        <f>OBRA!CE731</f>
        <v>2021-2024</v>
      </c>
      <c r="D356" s="1">
        <f>OBRA!K731</f>
        <v>2023</v>
      </c>
      <c r="E356" s="1644" t="str">
        <f>OBRA!P731</f>
        <v>ADMINISTRACIÓN DIRECTA</v>
      </c>
      <c r="F356" s="1644" t="str">
        <f>OBRA!O731</f>
        <v>DOP/AD/004/2023</v>
      </c>
      <c r="G356" s="3" t="str">
        <f>OBRA!Q731</f>
        <v>"IMPERMEABILIZACIÓN DE CUPULAS EN EL TEMPLO DEL SR. DEL MONTE", EN LA CABECERA MUNICIPAL DE JOCOTEPEC, JALISCO.</v>
      </c>
      <c r="H356" s="1644" t="s">
        <v>4754</v>
      </c>
      <c r="I356" s="3" t="str">
        <f>OBRA!R731</f>
        <v>CABECERA MUNICIPAL</v>
      </c>
      <c r="J356" s="3" t="s">
        <v>2636</v>
      </c>
      <c r="K356" s="3" t="s">
        <v>4777</v>
      </c>
      <c r="L356" s="3" t="s">
        <v>4900</v>
      </c>
      <c r="M356" s="1648">
        <f>OBRA!AT731+OBRA!AU731</f>
        <v>68064.55</v>
      </c>
      <c r="N356" s="1">
        <f>'ADMININSTRACIÓN DIR - OBRA'!AF733</f>
        <v>126</v>
      </c>
      <c r="O356" s="1" t="str">
        <f>'ADMININSTRACIÓN DIR - OBRA'!AG733</f>
        <v>M2</v>
      </c>
      <c r="P356" s="1"/>
      <c r="Q356" s="2" t="s">
        <v>5416</v>
      </c>
    </row>
    <row r="357" spans="1:17" ht="60">
      <c r="A357" s="1"/>
      <c r="B357" s="1"/>
      <c r="C357" s="1" t="str">
        <f>OBRA!CE732</f>
        <v>2021-2024</v>
      </c>
      <c r="D357" s="1">
        <f>OBRA!K732</f>
        <v>2023</v>
      </c>
      <c r="E357" s="1644" t="str">
        <f>OBRA!P732</f>
        <v>ADMINISTRACIÓN DIRECTA</v>
      </c>
      <c r="F357" s="1644"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44" t="s">
        <v>4754</v>
      </c>
      <c r="I357" s="3" t="str">
        <f>OBRA!R732</f>
        <v>CABECERA MUNICIPAL</v>
      </c>
      <c r="J357" s="3" t="s">
        <v>2636</v>
      </c>
      <c r="K357" s="3" t="s">
        <v>4777</v>
      </c>
      <c r="L357" s="3" t="s">
        <v>4900</v>
      </c>
      <c r="M357" s="1648">
        <f>OBRA!AT732+OBRA!AU732</f>
        <v>94407.21</v>
      </c>
      <c r="N357" s="1">
        <f>'ADMININSTRACIÓN DIR - OBRA'!AF734</f>
        <v>238.5</v>
      </c>
      <c r="O357" s="1" t="str">
        <f>'ADMININSTRACIÓN DIR - OBRA'!AG734</f>
        <v>M2</v>
      </c>
      <c r="P357" s="1"/>
      <c r="Q357" s="2" t="s">
        <v>5417</v>
      </c>
    </row>
    <row r="358" spans="1:17" ht="90.75" customHeight="1">
      <c r="A358" s="1"/>
      <c r="B358" s="1"/>
      <c r="C358" s="1" t="str">
        <f>OBRA!CE733</f>
        <v>2021-2024</v>
      </c>
      <c r="D358" s="1">
        <f>OBRA!K733</f>
        <v>2023</v>
      </c>
      <c r="E358" s="1644" t="str">
        <f>OBRA!P733</f>
        <v>ADMINISTRACIÓN DIRECTA</v>
      </c>
      <c r="F358" s="1644" t="str">
        <f>OBRA!O733</f>
        <v>DOP/AD/006/2023</v>
      </c>
      <c r="G358" s="3" t="str">
        <f>OBRA!Q733</f>
        <v>"EXTENSIÓN DE RED DE AGUA POTABLE DE 4" DE DIAMETRO EN LA CALLE CHUECA" EN LA LOCALIDAD DE CHANTEPEC, MUNICIPIO DE JOCOTEPEC, JALISCO.</v>
      </c>
      <c r="H358" s="1644" t="s">
        <v>4761</v>
      </c>
      <c r="I358" s="3" t="str">
        <f>OBRA!R733</f>
        <v>CHANTEPEC</v>
      </c>
      <c r="J358" s="3" t="s">
        <v>5320</v>
      </c>
      <c r="K358" s="3"/>
      <c r="L358" s="3"/>
      <c r="M358" s="1648">
        <f>OBRA!AT733+OBRA!AU733</f>
        <v>280385.88</v>
      </c>
      <c r="N358" s="1">
        <f>'ADMININSTRACIÓN DIR - OBRA'!AF735</f>
        <v>0</v>
      </c>
      <c r="O358" s="1" t="str">
        <f>'ADMININSTRACIÓN DIR - OBRA'!AG735</f>
        <v>ML</v>
      </c>
      <c r="P358" s="1"/>
      <c r="Q358" s="2"/>
    </row>
    <row r="359" spans="1:17" ht="30">
      <c r="A359" s="1"/>
      <c r="B359" s="1"/>
      <c r="C359" s="1" t="str">
        <f>OBRA!CE734</f>
        <v>2021-2024</v>
      </c>
      <c r="D359" s="1">
        <f>OBRA!K734</f>
        <v>2023</v>
      </c>
      <c r="E359" s="1644" t="str">
        <f>OBRA!P734</f>
        <v>CANCELADA</v>
      </c>
      <c r="F359" s="1644" t="str">
        <f>OBRA!O734</f>
        <v>DOP/AD/007/2023</v>
      </c>
      <c r="G359" s="3" t="str">
        <f>OBRA!Q734</f>
        <v>-</v>
      </c>
      <c r="H359" s="1644" t="s">
        <v>4748</v>
      </c>
      <c r="I359" s="3" t="str">
        <f>OBRA!R734</f>
        <v>-</v>
      </c>
      <c r="J359" s="3" t="s">
        <v>5413</v>
      </c>
      <c r="K359" s="3" t="s">
        <v>5419</v>
      </c>
      <c r="L359" s="3" t="s">
        <v>5420</v>
      </c>
      <c r="M359" s="1648">
        <f>OBRA!AT734+OBRA!AU734</f>
        <v>0</v>
      </c>
      <c r="N359" s="1">
        <f>'ADMININSTRACIÓN DIR - OBRA'!AF736</f>
        <v>0</v>
      </c>
      <c r="O359" s="1">
        <f>'ADMININSTRACIÓN DIR - OBRA'!AG736</f>
        <v>0</v>
      </c>
      <c r="P359" s="1"/>
      <c r="Q359" s="2"/>
    </row>
    <row r="360" spans="1:17" hidden="1">
      <c r="A360" s="1"/>
      <c r="B360" s="1"/>
      <c r="C360" s="1"/>
      <c r="D360" s="1"/>
      <c r="E360" s="1"/>
      <c r="F360" s="1"/>
      <c r="G360" s="1645"/>
      <c r="H360" s="1"/>
      <c r="I360" s="1645"/>
      <c r="J360" s="1645"/>
      <c r="K360" s="1645"/>
      <c r="L360" s="1645"/>
      <c r="M360" s="1645"/>
      <c r="N360" s="1"/>
      <c r="O360" s="1"/>
      <c r="P360" s="1"/>
      <c r="Q360" s="1"/>
    </row>
    <row r="361" spans="1:17" hidden="1">
      <c r="A361" s="1"/>
      <c r="B361" s="1"/>
      <c r="C361" s="1"/>
      <c r="D361" s="1"/>
      <c r="E361" s="1"/>
      <c r="F361" s="1"/>
      <c r="G361" s="1645"/>
      <c r="H361" s="1"/>
      <c r="I361" s="1645"/>
      <c r="J361" s="1645"/>
      <c r="K361" s="1645"/>
      <c r="L361" s="1645"/>
      <c r="M361" s="1645"/>
      <c r="N361" s="1"/>
      <c r="O361" s="1"/>
      <c r="P361" s="1"/>
      <c r="Q361" s="1"/>
    </row>
    <row r="362" spans="1:17" hidden="1">
      <c r="A362" s="1"/>
      <c r="B362" s="1"/>
      <c r="C362" s="1"/>
      <c r="D362" s="1"/>
      <c r="E362" s="1"/>
      <c r="F362" s="1"/>
      <c r="G362" s="1645"/>
      <c r="H362" s="1"/>
      <c r="I362" s="1645"/>
      <c r="J362" s="1645"/>
      <c r="K362" s="1645"/>
      <c r="L362" s="1645"/>
      <c r="M362" s="1645"/>
      <c r="N362" s="1"/>
      <c r="O362" s="1"/>
      <c r="P362" s="1"/>
      <c r="Q362" s="1"/>
    </row>
    <row r="363" spans="1:17" hidden="1">
      <c r="A363" s="1"/>
      <c r="B363" s="1"/>
      <c r="C363" s="1"/>
      <c r="D363" s="1"/>
      <c r="E363" s="1"/>
      <c r="F363" s="1"/>
      <c r="G363" s="1645"/>
      <c r="H363" s="1"/>
      <c r="I363" s="1645"/>
      <c r="J363" s="1645"/>
      <c r="K363" s="1645"/>
      <c r="L363" s="1645"/>
      <c r="M363" s="1645"/>
      <c r="N363" s="1"/>
      <c r="O363" s="1"/>
      <c r="P363" s="1"/>
      <c r="Q363" s="1"/>
    </row>
    <row r="364" spans="1:17" hidden="1">
      <c r="A364" s="1"/>
      <c r="B364" s="1"/>
      <c r="C364" s="1"/>
      <c r="D364" s="1"/>
      <c r="E364" s="1"/>
      <c r="F364" s="1"/>
      <c r="G364" s="1645"/>
      <c r="H364" s="1"/>
      <c r="I364" s="1645"/>
      <c r="J364" s="1645"/>
      <c r="K364" s="1645"/>
      <c r="L364" s="1645"/>
      <c r="M364" s="1645"/>
      <c r="N364" s="1"/>
      <c r="O364" s="1"/>
      <c r="P364" s="1"/>
      <c r="Q364" s="1"/>
    </row>
    <row r="365" spans="1:17" hidden="1">
      <c r="A365" s="1"/>
      <c r="B365" s="1"/>
      <c r="C365" s="1"/>
      <c r="D365" s="1"/>
      <c r="E365" s="1"/>
      <c r="F365" s="1"/>
      <c r="G365" s="1645"/>
      <c r="H365" s="1"/>
      <c r="I365" s="1645"/>
      <c r="J365" s="1645"/>
      <c r="K365" s="1645"/>
      <c r="L365" s="1645"/>
      <c r="M365" s="1645"/>
      <c r="N365" s="1"/>
      <c r="O365" s="1"/>
      <c r="P365" s="1"/>
      <c r="Q365" s="1"/>
    </row>
    <row r="366" spans="1:17" hidden="1">
      <c r="A366" s="1"/>
      <c r="B366" s="1"/>
      <c r="C366" s="1"/>
      <c r="D366" s="1"/>
      <c r="E366" s="1"/>
      <c r="F366" s="1"/>
      <c r="G366" s="1645"/>
      <c r="H366" s="1"/>
      <c r="I366" s="1645"/>
      <c r="J366" s="1645"/>
      <c r="K366" s="1645"/>
      <c r="L366" s="1645"/>
      <c r="M366" s="1645"/>
      <c r="N366" s="1"/>
      <c r="O366" s="1"/>
      <c r="P366" s="1"/>
      <c r="Q366" s="1"/>
    </row>
    <row r="367" spans="1:17" hidden="1">
      <c r="A367" s="1"/>
      <c r="B367" s="1"/>
      <c r="C367" s="1"/>
      <c r="D367" s="1"/>
      <c r="E367" s="1"/>
      <c r="F367" s="1"/>
      <c r="G367" s="1645"/>
      <c r="H367" s="1"/>
      <c r="I367" s="1645"/>
      <c r="J367" s="1645"/>
      <c r="K367" s="1645"/>
      <c r="L367" s="1645"/>
      <c r="M367" s="1645"/>
      <c r="N367" s="1"/>
      <c r="O367" s="1"/>
      <c r="P367" s="1"/>
      <c r="Q367" s="1"/>
    </row>
    <row r="368" spans="1:17" hidden="1">
      <c r="A368" s="1"/>
      <c r="B368" s="1"/>
      <c r="C368" s="1"/>
      <c r="D368" s="1"/>
      <c r="E368" s="1"/>
      <c r="F368" s="1"/>
      <c r="G368" s="1645"/>
      <c r="H368" s="1"/>
      <c r="I368" s="1645"/>
      <c r="J368" s="1645"/>
      <c r="K368" s="1645"/>
      <c r="L368" s="1645"/>
      <c r="M368" s="1645"/>
      <c r="N368" s="1"/>
      <c r="O368" s="1"/>
      <c r="P368" s="1"/>
      <c r="Q368" s="1"/>
    </row>
    <row r="369" spans="1:17" hidden="1">
      <c r="A369" s="1"/>
      <c r="B369" s="1"/>
      <c r="C369" s="1"/>
      <c r="D369" s="1"/>
      <c r="E369" s="1"/>
      <c r="F369" s="1"/>
      <c r="G369" s="1645"/>
      <c r="H369" s="1"/>
      <c r="I369" s="1645"/>
      <c r="J369" s="1645"/>
      <c r="K369" s="1645"/>
      <c r="L369" s="1645"/>
      <c r="M369" s="1645"/>
      <c r="N369" s="1"/>
      <c r="O369" s="1"/>
      <c r="P369" s="1"/>
      <c r="Q369" s="1"/>
    </row>
    <row r="370" spans="1:17" hidden="1">
      <c r="A370" s="1"/>
      <c r="B370" s="1"/>
      <c r="C370" s="1"/>
      <c r="D370" s="1"/>
      <c r="E370" s="1"/>
      <c r="F370" s="1"/>
      <c r="G370" s="1645"/>
      <c r="H370" s="1"/>
      <c r="I370" s="1645"/>
      <c r="J370" s="1645"/>
      <c r="K370" s="1645"/>
      <c r="L370" s="1645"/>
      <c r="M370" s="1645"/>
      <c r="N370" s="1"/>
      <c r="O370" s="1"/>
      <c r="P370" s="1"/>
      <c r="Q370" s="1"/>
    </row>
    <row r="371" spans="1:17" hidden="1">
      <c r="A371" s="1"/>
      <c r="B371" s="1"/>
      <c r="C371" s="1"/>
      <c r="D371" s="1"/>
      <c r="E371" s="1"/>
      <c r="F371" s="1"/>
      <c r="G371" s="1645"/>
      <c r="H371" s="1"/>
      <c r="I371" s="1645"/>
      <c r="J371" s="1645"/>
      <c r="K371" s="1645"/>
      <c r="L371" s="1645"/>
      <c r="M371" s="1645"/>
      <c r="N371" s="1"/>
      <c r="O371" s="1"/>
      <c r="P371" s="1"/>
      <c r="Q371" s="1"/>
    </row>
    <row r="372" spans="1:17" hidden="1">
      <c r="A372" s="1"/>
      <c r="B372" s="1"/>
      <c r="C372" s="1"/>
      <c r="D372" s="1"/>
      <c r="E372" s="1"/>
      <c r="F372" s="1"/>
      <c r="G372" s="1645"/>
      <c r="H372" s="1"/>
      <c r="I372" s="1645"/>
      <c r="J372" s="1645"/>
      <c r="K372" s="1645"/>
      <c r="L372" s="1645"/>
      <c r="M372" s="1645"/>
      <c r="N372" s="1"/>
      <c r="O372" s="1"/>
      <c r="P372" s="1"/>
      <c r="Q372" s="1"/>
    </row>
    <row r="373" spans="1:17" hidden="1">
      <c r="A373" s="1"/>
      <c r="B373" s="1"/>
      <c r="C373" s="1"/>
      <c r="D373" s="1"/>
      <c r="E373" s="1"/>
      <c r="F373" s="1"/>
      <c r="G373" s="1645"/>
      <c r="H373" s="1"/>
      <c r="I373" s="1645"/>
      <c r="J373" s="1645"/>
      <c r="K373" s="1645"/>
      <c r="L373" s="1645"/>
      <c r="M373" s="1645"/>
      <c r="N373" s="1"/>
      <c r="O373" s="1"/>
      <c r="P373" s="1"/>
      <c r="Q373" s="1"/>
    </row>
    <row r="374" spans="1:17" hidden="1">
      <c r="A374" s="1"/>
      <c r="B374" s="1"/>
      <c r="C374" s="1"/>
      <c r="D374" s="1"/>
      <c r="E374" s="1"/>
      <c r="F374" s="1"/>
      <c r="G374" s="1645"/>
      <c r="H374" s="1"/>
      <c r="I374" s="1645"/>
      <c r="J374" s="1645"/>
      <c r="K374" s="1645"/>
      <c r="L374" s="1645"/>
      <c r="M374" s="1645"/>
      <c r="N374" s="1"/>
      <c r="O374" s="1"/>
      <c r="P374" s="1"/>
      <c r="Q374" s="1"/>
    </row>
    <row r="375" spans="1:17" hidden="1">
      <c r="A375" s="1"/>
      <c r="B375" s="1"/>
      <c r="C375" s="1"/>
      <c r="D375" s="1"/>
      <c r="E375" s="1"/>
      <c r="F375" s="1"/>
      <c r="G375" s="1645"/>
      <c r="H375" s="1"/>
      <c r="I375" s="1645"/>
      <c r="J375" s="1645"/>
      <c r="K375" s="1645"/>
      <c r="L375" s="1645"/>
      <c r="M375" s="1645"/>
      <c r="N375" s="1"/>
      <c r="O375" s="1"/>
      <c r="P375" s="1"/>
      <c r="Q375" s="1"/>
    </row>
    <row r="376" spans="1:17" hidden="1">
      <c r="A376" s="1"/>
      <c r="B376" s="1"/>
      <c r="C376" s="1"/>
      <c r="D376" s="1"/>
      <c r="E376" s="1"/>
      <c r="F376" s="1"/>
      <c r="G376" s="1645"/>
      <c r="H376" s="1"/>
      <c r="I376" s="1645"/>
      <c r="J376" s="1645"/>
      <c r="K376" s="1645"/>
      <c r="L376" s="1645"/>
      <c r="M376" s="1645"/>
      <c r="N376" s="1"/>
      <c r="O376" s="1"/>
      <c r="P376" s="1"/>
      <c r="Q376" s="1"/>
    </row>
    <row r="377" spans="1:17" hidden="1">
      <c r="A377" s="1"/>
      <c r="B377" s="1"/>
      <c r="C377" s="1"/>
      <c r="D377" s="1"/>
      <c r="E377" s="1"/>
      <c r="F377" s="1"/>
      <c r="G377" s="1645"/>
      <c r="H377" s="1"/>
      <c r="I377" s="1645"/>
      <c r="J377" s="1645"/>
      <c r="K377" s="1645"/>
      <c r="L377" s="1645"/>
      <c r="M377" s="1645"/>
      <c r="N377" s="1"/>
      <c r="O377" s="1"/>
      <c r="P377" s="1"/>
      <c r="Q377" s="1"/>
    </row>
    <row r="378" spans="1:17" hidden="1">
      <c r="A378" s="1"/>
      <c r="B378" s="1"/>
      <c r="C378" s="1"/>
      <c r="D378" s="1"/>
      <c r="E378" s="1"/>
      <c r="F378" s="1"/>
      <c r="G378" s="1645"/>
      <c r="H378" s="1"/>
      <c r="I378" s="1645"/>
      <c r="J378" s="1645"/>
      <c r="K378" s="1645"/>
      <c r="L378" s="1645"/>
      <c r="M378" s="1645"/>
      <c r="N378" s="1"/>
      <c r="O378" s="1"/>
      <c r="P378" s="1"/>
      <c r="Q378" s="1"/>
    </row>
    <row r="379" spans="1:17" hidden="1">
      <c r="A379" s="1"/>
      <c r="B379" s="1"/>
      <c r="C379" s="1"/>
      <c r="D379" s="1"/>
      <c r="E379" s="1"/>
      <c r="F379" s="1"/>
      <c r="G379" s="1645"/>
      <c r="H379" s="1"/>
      <c r="I379" s="1645"/>
      <c r="J379" s="1645"/>
      <c r="K379" s="1645"/>
      <c r="L379" s="1645"/>
      <c r="M379" s="1645"/>
      <c r="N379" s="1"/>
      <c r="O379" s="1"/>
      <c r="P379" s="1"/>
      <c r="Q379" s="1"/>
    </row>
    <row r="380" spans="1:17" hidden="1">
      <c r="A380" s="1"/>
      <c r="B380" s="1"/>
      <c r="C380" s="1"/>
      <c r="D380" s="1"/>
      <c r="E380" s="1"/>
      <c r="F380" s="1"/>
      <c r="G380" s="1645"/>
      <c r="H380" s="1"/>
      <c r="I380" s="1645"/>
      <c r="J380" s="1645"/>
      <c r="K380" s="1645"/>
      <c r="L380" s="1645"/>
      <c r="M380" s="1645"/>
      <c r="N380" s="1"/>
      <c r="O380" s="1"/>
      <c r="P380" s="1"/>
      <c r="Q380" s="1"/>
    </row>
    <row r="381" spans="1:17" hidden="1">
      <c r="A381" s="1"/>
      <c r="B381" s="1"/>
      <c r="C381" s="1"/>
      <c r="D381" s="1"/>
      <c r="E381" s="1"/>
      <c r="F381" s="1"/>
      <c r="G381" s="1645"/>
      <c r="H381" s="1"/>
      <c r="I381" s="1645"/>
      <c r="J381" s="1645"/>
      <c r="K381" s="1645"/>
      <c r="L381" s="1645"/>
      <c r="M381" s="1645"/>
      <c r="N381" s="1"/>
      <c r="O381" s="1"/>
      <c r="P381" s="1"/>
      <c r="Q381" s="1"/>
    </row>
    <row r="382" spans="1:17" hidden="1">
      <c r="A382" s="1"/>
      <c r="B382" s="1"/>
      <c r="C382" s="1"/>
      <c r="D382" s="1"/>
      <c r="E382" s="1"/>
      <c r="F382" s="1"/>
      <c r="G382" s="1645"/>
      <c r="H382" s="1"/>
      <c r="I382" s="1645"/>
      <c r="J382" s="1645"/>
      <c r="K382" s="1645"/>
      <c r="L382" s="1645"/>
      <c r="M382" s="1645"/>
      <c r="N382" s="1"/>
      <c r="O382" s="1"/>
      <c r="P382" s="1"/>
      <c r="Q382" s="1"/>
    </row>
    <row r="383" spans="1:17" hidden="1">
      <c r="A383" s="1"/>
      <c r="B383" s="1"/>
      <c r="C383" s="1"/>
      <c r="D383" s="1"/>
      <c r="E383" s="1"/>
      <c r="F383" s="1"/>
      <c r="G383" s="1645"/>
      <c r="H383" s="1"/>
      <c r="I383" s="1645"/>
      <c r="J383" s="1645"/>
      <c r="K383" s="1645"/>
      <c r="L383" s="1645"/>
      <c r="M383" s="1645"/>
      <c r="N383" s="1"/>
      <c r="O383" s="1"/>
      <c r="P383" s="1"/>
      <c r="Q383" s="1"/>
    </row>
    <row r="384" spans="1:17" hidden="1">
      <c r="A384" s="1"/>
      <c r="B384" s="1"/>
      <c r="C384" s="1"/>
      <c r="D384" s="1"/>
      <c r="E384" s="1"/>
      <c r="F384" s="1"/>
      <c r="G384" s="1645"/>
      <c r="H384" s="1"/>
      <c r="I384" s="1645"/>
      <c r="J384" s="1645"/>
      <c r="K384" s="1645"/>
      <c r="L384" s="1645"/>
      <c r="M384" s="1645"/>
      <c r="N384" s="1"/>
      <c r="O384" s="1"/>
      <c r="P384" s="1"/>
      <c r="Q384" s="1"/>
    </row>
    <row r="385" spans="1:17" hidden="1">
      <c r="A385" s="1"/>
      <c r="B385" s="1"/>
      <c r="C385" s="1"/>
      <c r="D385" s="1"/>
      <c r="E385" s="1"/>
      <c r="F385" s="1"/>
      <c r="G385" s="1645"/>
      <c r="H385" s="1"/>
      <c r="I385" s="1645"/>
      <c r="J385" s="1645"/>
      <c r="K385" s="1645"/>
      <c r="L385" s="1645"/>
      <c r="M385" s="1645"/>
      <c r="N385" s="1"/>
      <c r="O385" s="1"/>
      <c r="P385" s="1"/>
      <c r="Q385" s="1"/>
    </row>
    <row r="386" spans="1:17" hidden="1">
      <c r="A386" s="1"/>
      <c r="B386" s="1"/>
      <c r="C386" s="1"/>
      <c r="D386" s="1"/>
      <c r="E386" s="1"/>
      <c r="F386" s="1"/>
      <c r="G386" s="1645"/>
      <c r="H386" s="1"/>
      <c r="I386" s="1645"/>
      <c r="J386" s="1645"/>
      <c r="K386" s="1645"/>
      <c r="L386" s="1645"/>
      <c r="M386" s="1645"/>
      <c r="N386" s="1"/>
      <c r="O386" s="1"/>
      <c r="P386" s="1"/>
      <c r="Q386" s="1"/>
    </row>
    <row r="387" spans="1:17" hidden="1">
      <c r="A387" s="1"/>
      <c r="B387" s="1"/>
      <c r="C387" s="1"/>
      <c r="D387" s="1"/>
      <c r="E387" s="1"/>
      <c r="F387" s="1"/>
      <c r="G387" s="1645"/>
      <c r="H387" s="1"/>
      <c r="I387" s="1645"/>
      <c r="J387" s="1645"/>
      <c r="K387" s="1645"/>
      <c r="L387" s="1645"/>
      <c r="M387" s="1645"/>
      <c r="N387" s="1"/>
      <c r="O387" s="1"/>
      <c r="P387" s="1"/>
      <c r="Q387" s="1"/>
    </row>
    <row r="388" spans="1:17" hidden="1">
      <c r="A388" s="1"/>
      <c r="B388" s="1"/>
      <c r="C388" s="1"/>
      <c r="D388" s="1"/>
      <c r="E388" s="1"/>
      <c r="F388" s="1"/>
      <c r="G388" s="1"/>
      <c r="H388" s="1"/>
      <c r="I388" s="1645"/>
      <c r="J388" s="1645"/>
      <c r="K388" s="1645"/>
      <c r="L388" s="1645"/>
      <c r="M388" s="1645"/>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4"/>
  <sheetViews>
    <sheetView view="pageBreakPreview" zoomScale="55" zoomScaleNormal="85" zoomScaleSheetLayoutView="55" workbookViewId="0">
      <selection activeCell="A2" sqref="A2:S2"/>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40" t="s">
        <v>2183</v>
      </c>
      <c r="B1" s="2140"/>
      <c r="C1" s="2140"/>
      <c r="D1" s="2140"/>
      <c r="E1" s="2140"/>
      <c r="F1" s="2140"/>
      <c r="G1" s="2140"/>
      <c r="H1" s="2140"/>
      <c r="I1" s="2140"/>
      <c r="J1" s="2140"/>
      <c r="K1" s="2140"/>
      <c r="L1" s="2140"/>
      <c r="M1" s="2140"/>
      <c r="N1" s="2140"/>
      <c r="O1" s="2140"/>
      <c r="P1" s="2140"/>
      <c r="Q1" s="2140"/>
      <c r="R1" s="2140"/>
      <c r="S1" s="2140"/>
      <c r="T1" s="1060"/>
      <c r="U1" s="1060"/>
      <c r="V1" s="1060"/>
      <c r="W1" s="1060"/>
      <c r="X1" s="1060"/>
      <c r="Y1" s="1060"/>
      <c r="Z1" s="1060"/>
      <c r="AA1" s="1060"/>
      <c r="AB1" s="1060"/>
      <c r="AC1" s="1060"/>
      <c r="AD1" s="1060"/>
      <c r="AE1" s="1060"/>
    </row>
    <row r="2" spans="1:31" ht="23.25" customHeight="1" thickBot="1">
      <c r="A2" s="2141" t="str">
        <f>'ADMININSTRACIÓN DIR - OBRA'!A2:BJ2</f>
        <v>DEL 01 DE ENERO 2022 A FECHA ACTUAL</v>
      </c>
      <c r="B2" s="2141"/>
      <c r="C2" s="2141"/>
      <c r="D2" s="2141"/>
      <c r="E2" s="2141"/>
      <c r="F2" s="2141"/>
      <c r="G2" s="2141"/>
      <c r="H2" s="2141"/>
      <c r="I2" s="2141"/>
      <c r="J2" s="2141"/>
      <c r="K2" s="2141"/>
      <c r="L2" s="2141"/>
      <c r="M2" s="2141"/>
      <c r="N2" s="2141"/>
      <c r="O2" s="2141"/>
      <c r="P2" s="2141"/>
      <c r="Q2" s="2141"/>
      <c r="R2" s="2141"/>
      <c r="S2" s="2141"/>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67" t="s">
        <v>4</v>
      </c>
      <c r="K3" s="2068"/>
      <c r="L3" s="2142" t="s">
        <v>2</v>
      </c>
      <c r="M3" s="2143"/>
      <c r="N3" s="2143"/>
      <c r="O3" s="2143"/>
      <c r="P3" s="2143"/>
      <c r="Q3" s="2143"/>
      <c r="R3" s="2143"/>
      <c r="S3" s="2144"/>
      <c r="T3" s="1370"/>
      <c r="U3" s="361"/>
      <c r="V3" s="368"/>
      <c r="W3" s="363"/>
      <c r="X3" s="1001"/>
      <c r="Y3" s="2137" t="s">
        <v>2184</v>
      </c>
      <c r="Z3" s="2137"/>
      <c r="AA3" s="2138"/>
      <c r="AB3" s="2138"/>
      <c r="AC3" s="2139"/>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3817</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3816</v>
      </c>
      <c r="U5" s="360" t="s">
        <v>2201</v>
      </c>
      <c r="V5" s="41" t="s">
        <v>62</v>
      </c>
      <c r="W5" s="365" t="s">
        <v>2202</v>
      </c>
      <c r="X5" s="1003" t="s">
        <v>2203</v>
      </c>
      <c r="Y5" s="111" t="s">
        <v>2204</v>
      </c>
      <c r="Z5" s="111" t="s">
        <v>25</v>
      </c>
      <c r="AA5" s="43" t="s">
        <v>2957</v>
      </c>
      <c r="AB5" s="111" t="s">
        <v>6586</v>
      </c>
      <c r="AC5" s="316" t="s">
        <v>57</v>
      </c>
      <c r="AD5" s="1309" t="s">
        <v>3666</v>
      </c>
      <c r="AE5" s="519" t="s">
        <v>1425</v>
      </c>
    </row>
    <row r="6" spans="1:31" s="723" customFormat="1" ht="15"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'ADMININSTRACIÓN DIR - OBRA'!B8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'ADMININSTRACIÓN DIR - OBRA'!B9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52"/>
      <c r="AC8" s="385">
        <f>OBRA!BX7</f>
        <v>0</v>
      </c>
      <c r="AD8" s="354"/>
      <c r="AE8" s="354"/>
    </row>
    <row r="9" spans="1:31" s="300" customFormat="1" ht="60.75" hidden="1" customHeight="1">
      <c r="A9" s="306" t="s">
        <v>2209</v>
      </c>
      <c r="B9" s="860" t="str">
        <f>'ADMININSTRACIÓN DIR - OBRA'!B10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52"/>
      <c r="AC9" s="385">
        <f>OBRA!BX8</f>
        <v>0</v>
      </c>
      <c r="AD9" s="354"/>
      <c r="AE9" s="354"/>
    </row>
    <row r="10" spans="1:31" ht="60.75" hidden="1" customHeight="1">
      <c r="A10" s="22" t="s">
        <v>2209</v>
      </c>
      <c r="B10" s="814" t="str">
        <f>'ADMININSTRACIÓN DIR - OBRA'!B11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53"/>
      <c r="AC10" s="318">
        <f>OBRA!BX9</f>
        <v>0</v>
      </c>
      <c r="AD10" s="353"/>
      <c r="AE10" s="353"/>
    </row>
    <row r="11" spans="1:31" ht="60.75" hidden="1" customHeight="1">
      <c r="A11" s="22" t="s">
        <v>2209</v>
      </c>
      <c r="B11" s="814" t="str">
        <f>'ADMININSTRACIÓN DIR - OBRA'!B12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'ADMININSTRACIÓN DIR - OBRA'!B13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'ADMININSTRACIÓN DIR - OBRA'!B14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'ADMININSTRACIÓN DIR - OBRA'!B15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'ADMININSTRACIÓN DIR - OBRA'!B16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'ADMININSTRACIÓN DIR - OBRA'!B17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'ADMININSTRACIÓN DIR - OBRA'!B18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'ADMININSTRACIÓN DIR - OBRA'!B19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'ADMININSTRACIÓN DIR - OBRA'!B20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52"/>
      <c r="AC19" s="385">
        <f>OBRA!BX18</f>
        <v>0</v>
      </c>
      <c r="AD19" s="354"/>
      <c r="AE19" s="354"/>
    </row>
    <row r="20" spans="1:31" s="300" customFormat="1" ht="45.75" hidden="1" customHeight="1">
      <c r="A20" s="306" t="s">
        <v>2209</v>
      </c>
      <c r="B20" s="860" t="str">
        <f>'ADMININSTRACIÓN DIR - OBRA'!B21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52"/>
      <c r="AC20" s="385">
        <f>OBRA!BX19</f>
        <v>0</v>
      </c>
      <c r="AD20" s="354"/>
      <c r="AE20" s="354"/>
    </row>
    <row r="21" spans="1:31" ht="30.75" hidden="1" customHeight="1">
      <c r="A21" s="22" t="s">
        <v>2209</v>
      </c>
      <c r="B21" s="814" t="str">
        <f>'ADMININSTRACIÓN DIR - OBRA'!B22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'ADMININSTRACIÓN DIR - OBRA'!B23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53"/>
      <c r="AC22" s="318">
        <f>OBRA!BX21</f>
        <v>0</v>
      </c>
      <c r="AD22" s="353"/>
      <c r="AE22" s="353"/>
    </row>
    <row r="23" spans="1:31" s="300" customFormat="1" ht="60.75" hidden="1" customHeight="1">
      <c r="A23" s="306" t="s">
        <v>2209</v>
      </c>
      <c r="B23" s="860" t="str">
        <f>'ADMININSTRACIÓN DIR - OBRA'!B24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52"/>
      <c r="AC23" s="385">
        <f>OBRA!BX22</f>
        <v>0</v>
      </c>
      <c r="AD23" s="354"/>
      <c r="AE23" s="354"/>
    </row>
    <row r="24" spans="1:31" s="300" customFormat="1" ht="75.75" hidden="1" customHeight="1">
      <c r="A24" s="306" t="s">
        <v>2209</v>
      </c>
      <c r="B24" s="860" t="str">
        <f>'ADMININSTRACIÓN DIR - OBRA'!B25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52"/>
      <c r="AC24" s="385">
        <f>OBRA!BX23</f>
        <v>0</v>
      </c>
      <c r="AD24" s="354"/>
      <c r="AE24" s="354"/>
    </row>
    <row r="25" spans="1:31" ht="45.75" hidden="1" customHeight="1">
      <c r="A25" s="22" t="s">
        <v>2209</v>
      </c>
      <c r="B25" s="814" t="str">
        <f>'ADMININSTRACIÓN DIR - OBRA'!B26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'ADMININSTRACIÓN DIR - OBRA'!B27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'ADMININSTRACIÓN DIR - OBRA'!B28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'ADMININSTRACIÓN DIR - OBRA'!B29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'ADMININSTRACIÓN DIR - OBRA'!B30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'ADMININSTRACIÓN DIR - OBRA'!B31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'ADMININSTRACIÓN DIR - OBRA'!B32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'ADMININSTRACIÓN DIR - OBRA'!B33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'ADMININSTRACIÓN DIR - OBRA'!B34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'ADMININSTRACIÓN DIR - OBRA'!B35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52"/>
      <c r="AC34" s="385">
        <f>OBRA!BX33</f>
        <v>0</v>
      </c>
      <c r="AD34" s="354"/>
      <c r="AE34" s="354"/>
    </row>
    <row r="35" spans="1:31" ht="75.75" hidden="1" customHeight="1">
      <c r="A35" s="22" t="s">
        <v>2209</v>
      </c>
      <c r="B35" s="814" t="str">
        <f>'ADMININSTRACIÓN DIR - OBRA'!B36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'ADMININSTRACIÓN DIR - OBRA'!B37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'ADMININSTRACIÓN DIR - OBRA'!B38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'ADMININSTRACIÓN DIR - OBRA'!B39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'ADMININSTRACIÓN DIR - OBRA'!B40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'ADMININSTRACIÓN DIR - OBRA'!B41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53"/>
      <c r="AC40" s="318">
        <f>OBRA!BX39</f>
        <v>0</v>
      </c>
      <c r="AD40" s="353"/>
      <c r="AE40" s="353"/>
    </row>
    <row r="41" spans="1:31" ht="30.75" hidden="1" customHeight="1">
      <c r="A41" s="22" t="s">
        <v>2209</v>
      </c>
      <c r="B41" s="814" t="str">
        <f>'ADMININSTRACIÓN DIR - OBRA'!B42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'ADMININSTRACIÓN DIR - OBRA'!B43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'ADMININSTRACIÓN DIR - OBRA'!B44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'ADMININSTRACIÓN DIR - OBRA'!B45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52"/>
      <c r="AC44" s="385">
        <f>OBRA!BX43</f>
        <v>0</v>
      </c>
      <c r="AD44" s="354"/>
      <c r="AE44" s="354"/>
    </row>
    <row r="45" spans="1:31" s="300" customFormat="1" ht="45.75" hidden="1" customHeight="1">
      <c r="A45" s="306" t="s">
        <v>2209</v>
      </c>
      <c r="B45" s="860" t="str">
        <f>'ADMININSTRACIÓN DIR - OBRA'!B46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52"/>
      <c r="AC45" s="385">
        <f>OBRA!BX44</f>
        <v>0</v>
      </c>
      <c r="AD45" s="354"/>
      <c r="AE45" s="354"/>
    </row>
    <row r="46" spans="1:31" s="300" customFormat="1" ht="210.75" hidden="1" customHeight="1">
      <c r="A46" s="306" t="s">
        <v>2209</v>
      </c>
      <c r="B46" s="860" t="str">
        <f>'ADMININSTRACIÓN DIR - OBRA'!B47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52"/>
      <c r="AC46" s="385">
        <f>OBRA!BX45</f>
        <v>0</v>
      </c>
      <c r="AD46" s="354"/>
      <c r="AE46" s="354"/>
    </row>
    <row r="47" spans="1:31" ht="75.75" hidden="1" customHeight="1">
      <c r="A47" s="22" t="s">
        <v>2209</v>
      </c>
      <c r="B47" s="814" t="str">
        <f>'ADMININSTRACIÓN DIR - OBRA'!B48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'ADMININSTRACIÓN DIR - OBRA'!B49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52"/>
      <c r="AC48" s="385">
        <f>OBRA!BX47</f>
        <v>0</v>
      </c>
      <c r="AD48" s="354"/>
      <c r="AE48" s="354"/>
    </row>
    <row r="49" spans="1:31" ht="60.75" hidden="1" customHeight="1">
      <c r="A49" s="22" t="s">
        <v>2209</v>
      </c>
      <c r="B49" s="814" t="str">
        <f>'ADMININSTRACIÓN DIR - OBRA'!B50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'ADMININSTRACIÓN DIR - OBRA'!B51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52"/>
      <c r="AC50" s="385">
        <f>OBRA!BX49</f>
        <v>0</v>
      </c>
      <c r="AD50" s="354"/>
      <c r="AE50" s="354"/>
    </row>
    <row r="51" spans="1:31" ht="60.75" hidden="1" customHeight="1">
      <c r="A51" s="22" t="s">
        <v>2209</v>
      </c>
      <c r="B51" s="814" t="str">
        <f>'ADMININSTRACIÓN DIR - OBRA'!B52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'ADMININSTRACIÓN DIR - OBRA'!B53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52"/>
      <c r="AC52" s="385">
        <f>OBRA!BX51</f>
        <v>0</v>
      </c>
      <c r="AD52" s="354"/>
      <c r="AE52" s="354"/>
    </row>
    <row r="53" spans="1:31" s="300" customFormat="1" ht="60.75" hidden="1" customHeight="1">
      <c r="A53" s="306" t="s">
        <v>2209</v>
      </c>
      <c r="B53" s="860" t="str">
        <f>'ADMININSTRACIÓN DIR - OBRA'!B54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52"/>
      <c r="AC53" s="385">
        <f>OBRA!BX52</f>
        <v>0</v>
      </c>
      <c r="AD53" s="354"/>
      <c r="AE53" s="354"/>
    </row>
    <row r="54" spans="1:31" s="300" customFormat="1" ht="270.75" hidden="1" customHeight="1">
      <c r="A54" s="306" t="s">
        <v>2209</v>
      </c>
      <c r="B54" s="860" t="str">
        <f>'ADMININSTRACIÓN DIR - OBRA'!B55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52"/>
      <c r="AC54" s="385">
        <f>OBRA!BX53</f>
        <v>0</v>
      </c>
      <c r="AD54" s="354"/>
      <c r="AE54" s="354"/>
    </row>
    <row r="55" spans="1:31" ht="60.75" hidden="1" customHeight="1">
      <c r="A55" s="22" t="s">
        <v>2209</v>
      </c>
      <c r="B55" s="814" t="str">
        <f>'ADMININSTRACIÓN DIR - OBRA'!B56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'ADMININSTRACIÓN DIR - OBRA'!B57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'ADMININSTRACIÓN DIR - OBRA'!B58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'ADMININSTRACIÓN DIR - OBRA'!B59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52"/>
      <c r="AC58" s="385">
        <f>OBRA!BX57</f>
        <v>0</v>
      </c>
      <c r="AD58" s="354"/>
      <c r="AE58" s="354"/>
    </row>
    <row r="59" spans="1:31" s="104" customFormat="1" ht="90.75" hidden="1" customHeight="1">
      <c r="A59" s="81" t="s">
        <v>250</v>
      </c>
      <c r="B59" s="814" t="str">
        <f>'ADMININSTRACIÓN DIR - OBRA'!B60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53"/>
      <c r="AC59" s="318">
        <f>OBRA!BX58</f>
        <v>0</v>
      </c>
      <c r="AD59" s="353"/>
      <c r="AE59" s="353"/>
    </row>
    <row r="60" spans="1:31" ht="105.75" hidden="1" customHeight="1">
      <c r="A60" s="22" t="s">
        <v>2209</v>
      </c>
      <c r="B60" s="814" t="str">
        <f>'ADMININSTRACIÓN DIR - OBRA'!B61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'ADMININSTRACIÓN DIR - OBRA'!B62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'ADMININSTRACIÓN DIR - OBRA'!B63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'ADMININSTRACIÓN DIR - OBRA'!B64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'ADMININSTRACIÓN DIR - OBRA'!B65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'ADMININSTRACIÓN DIR - OBRA'!B66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53"/>
      <c r="AC65" s="468">
        <f>OBRA!BX64</f>
        <v>0</v>
      </c>
      <c r="AD65" s="355"/>
      <c r="AE65" s="355"/>
    </row>
    <row r="66" spans="1:31" s="104" customFormat="1" ht="75.75" hidden="1" customHeight="1">
      <c r="A66" s="81" t="s">
        <v>2209</v>
      </c>
      <c r="B66" s="825" t="str">
        <f>'ADMININSTRACIÓN DIR - OBRA'!B67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53"/>
      <c r="AC66" s="468">
        <f>OBRA!BX65</f>
        <v>0</v>
      </c>
      <c r="AD66" s="355"/>
      <c r="AE66" s="355"/>
    </row>
    <row r="67" spans="1:31" s="104" customFormat="1" ht="75.75" hidden="1" customHeight="1">
      <c r="A67" s="81" t="s">
        <v>2209</v>
      </c>
      <c r="B67" s="825" t="str">
        <f>'ADMININSTRACIÓN DIR - OBRA'!B68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53"/>
      <c r="AC67" s="468">
        <f>OBRA!BX66</f>
        <v>0</v>
      </c>
      <c r="AD67" s="355"/>
      <c r="AE67" s="355"/>
    </row>
    <row r="68" spans="1:31" s="104" customFormat="1" ht="75.75" hidden="1" customHeight="1">
      <c r="A68" s="81" t="s">
        <v>2209</v>
      </c>
      <c r="B68" s="825" t="str">
        <f>'ADMININSTRACIÓN DIR - OBRA'!B69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53"/>
      <c r="AC68" s="468">
        <f>OBRA!BX67</f>
        <v>0</v>
      </c>
      <c r="AD68" s="355"/>
      <c r="AE68" s="355"/>
    </row>
    <row r="69" spans="1:31" s="104" customFormat="1" ht="75.75" hidden="1" customHeight="1">
      <c r="A69" s="81" t="s">
        <v>2209</v>
      </c>
      <c r="B69" s="825" t="str">
        <f>'ADMININSTRACIÓN DIR - OBRA'!B70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53"/>
      <c r="AC69" s="468">
        <f>OBRA!BX68</f>
        <v>0</v>
      </c>
      <c r="AD69" s="355"/>
      <c r="AE69" s="355"/>
    </row>
    <row r="70" spans="1:31" s="104" customFormat="1" ht="75.75" hidden="1" customHeight="1">
      <c r="A70" s="81" t="s">
        <v>2209</v>
      </c>
      <c r="B70" s="825" t="str">
        <f>'ADMININSTRACIÓN DIR - OBRA'!B71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53"/>
      <c r="AC70" s="468">
        <f>OBRA!BX69</f>
        <v>0</v>
      </c>
      <c r="AD70" s="355"/>
      <c r="AE70" s="355"/>
    </row>
    <row r="71" spans="1:31" s="104" customFormat="1" ht="75.75" hidden="1" customHeight="1">
      <c r="A71" s="81" t="s">
        <v>2209</v>
      </c>
      <c r="B71" s="825" t="str">
        <f>'ADMININSTRACIÓN DIR - OBRA'!B72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53"/>
      <c r="AC71" s="468">
        <f>OBRA!BX70</f>
        <v>0</v>
      </c>
      <c r="AD71" s="355"/>
      <c r="AE71" s="355"/>
    </row>
    <row r="72" spans="1:31" s="104" customFormat="1" ht="75.75" hidden="1" customHeight="1">
      <c r="A72" s="81" t="s">
        <v>2209</v>
      </c>
      <c r="B72" s="825" t="str">
        <f>'ADMININSTRACIÓN DIR - OBRA'!B73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53"/>
      <c r="AC72" s="468">
        <f>OBRA!BX71</f>
        <v>0</v>
      </c>
      <c r="AD72" s="355"/>
      <c r="AE72" s="355"/>
    </row>
    <row r="73" spans="1:31" s="104" customFormat="1" ht="75.75" hidden="1" customHeight="1">
      <c r="A73" s="81" t="s">
        <v>2209</v>
      </c>
      <c r="B73" s="825" t="str">
        <f>'ADMININSTRACIÓN DIR - OBRA'!B74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53"/>
      <c r="AC73" s="468">
        <f>OBRA!BX72</f>
        <v>0</v>
      </c>
      <c r="AD73" s="355"/>
      <c r="AE73" s="355"/>
    </row>
    <row r="74" spans="1:31" ht="105.75" hidden="1" customHeight="1">
      <c r="A74" s="22" t="s">
        <v>2209</v>
      </c>
      <c r="B74" s="814" t="str">
        <f>'ADMININSTRACIÓN DIR - OBRA'!B75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'ADMININSTRACIÓN DIR - OBRA'!B76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'ADMININSTRACIÓN DIR - OBRA'!B77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'ADMININSTRACIÓN DIR - OBRA'!B78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'ADMININSTRACIÓN DIR - OBRA'!B79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'ADMININSTRACIÓN DIR - OBRA'!B80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'ADMININSTRACIÓN DIR - OBRA'!B81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'ADMININSTRACIÓN DIR - OBRA'!B82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'ADMININSTRACIÓN DIR - OBRA'!B83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52"/>
      <c r="AC82" s="385">
        <f>OBRA!BX81</f>
        <v>0</v>
      </c>
      <c r="AD82" s="354"/>
      <c r="AE82" s="354" t="s">
        <v>550</v>
      </c>
    </row>
    <row r="83" spans="1:31" ht="90.75" hidden="1" customHeight="1">
      <c r="A83" s="22" t="s">
        <v>2209</v>
      </c>
      <c r="B83" s="814" t="str">
        <f>'ADMININSTRACIÓN DIR - OBRA'!B84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'ADMININSTRACIÓN DIR - OBRA'!B85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'ADMININSTRACIÓN DIR - OBRA'!B86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'ADMININSTRACIÓN DIR - OBRA'!B87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'ADMININSTRACIÓN DIR - OBRA'!B88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'ADMININSTRACIÓN DIR - OBRA'!B89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'ADMININSTRACIÓN DIR - OBRA'!B90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52"/>
      <c r="AC89" s="385">
        <f>OBRA!BX88</f>
        <v>0</v>
      </c>
      <c r="AD89" s="354"/>
      <c r="AE89" s="354" t="s">
        <v>550</v>
      </c>
    </row>
    <row r="90" spans="1:31" ht="60.75" hidden="1" customHeight="1">
      <c r="A90" s="22" t="s">
        <v>2209</v>
      </c>
      <c r="B90" s="814" t="str">
        <f>'ADMININSTRACIÓN DIR - OBRA'!B91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'ADMININSTRACIÓN DIR - OBRA'!B92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'ADMININSTRACIÓN DIR - OBRA'!B93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'ADMININSTRACIÓN DIR - OBRA'!B94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'ADMININSTRACIÓN DIR - OBRA'!B95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'ADMININSTRACIÓN DIR - OBRA'!B96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'ADMININSTRACIÓN DIR - OBRA'!B97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52"/>
      <c r="AC96" s="385">
        <f>OBRA!BX95</f>
        <v>0</v>
      </c>
      <c r="AD96" s="354"/>
      <c r="AE96" s="354" t="s">
        <v>550</v>
      </c>
    </row>
    <row r="97" spans="1:31" s="300" customFormat="1" ht="101.25" hidden="1" customHeight="1">
      <c r="A97" s="306" t="s">
        <v>2209</v>
      </c>
      <c r="B97" s="860" t="str">
        <f>'ADMININSTRACIÓN DIR - OBRA'!B98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52"/>
      <c r="AC97" s="385">
        <f>OBRA!BX96</f>
        <v>0</v>
      </c>
      <c r="AD97" s="354"/>
      <c r="AE97" s="354" t="s">
        <v>550</v>
      </c>
    </row>
    <row r="98" spans="1:31" ht="90.75" hidden="1" customHeight="1">
      <c r="A98" s="22" t="s">
        <v>2209</v>
      </c>
      <c r="B98" s="814" t="str">
        <f>'ADMININSTRACIÓN DIR - OBRA'!B99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'ADMININSTRACIÓN DIR - OBRA'!B100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52"/>
      <c r="AC99" s="385">
        <f>OBRA!BX98</f>
        <v>0</v>
      </c>
      <c r="AD99" s="354"/>
      <c r="AE99" s="354" t="s">
        <v>550</v>
      </c>
    </row>
    <row r="100" spans="1:31" s="300" customFormat="1" ht="99" hidden="1" customHeight="1">
      <c r="A100" s="306" t="s">
        <v>2209</v>
      </c>
      <c r="B100" s="860" t="str">
        <f>'ADMININSTRACIÓN DIR - OBRA'!B101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52"/>
      <c r="AC100" s="385">
        <f>OBRA!BX99</f>
        <v>0</v>
      </c>
      <c r="AD100" s="354"/>
      <c r="AE100" s="354" t="s">
        <v>550</v>
      </c>
    </row>
    <row r="101" spans="1:31" s="300" customFormat="1" ht="74.25" hidden="1" customHeight="1">
      <c r="A101" s="306" t="s">
        <v>2209</v>
      </c>
      <c r="B101" s="860" t="str">
        <f>'ADMININSTRACIÓN DIR - OBRA'!B102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52"/>
      <c r="AC101" s="385">
        <f>OBRA!BX100</f>
        <v>0</v>
      </c>
      <c r="AD101" s="354"/>
      <c r="AE101" s="354" t="s">
        <v>550</v>
      </c>
    </row>
    <row r="102" spans="1:31" s="300" customFormat="1" ht="63.75" hidden="1" customHeight="1">
      <c r="A102" s="306" t="s">
        <v>2209</v>
      </c>
      <c r="B102" s="860" t="str">
        <f>'ADMININSTRACIÓN DIR - OBRA'!B103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52"/>
      <c r="AC102" s="385">
        <f>OBRA!BX101</f>
        <v>0</v>
      </c>
      <c r="AD102" s="354"/>
      <c r="AE102" s="354" t="s">
        <v>550</v>
      </c>
    </row>
    <row r="103" spans="1:31" s="104" customFormat="1" ht="45.75" hidden="1" customHeight="1">
      <c r="A103" s="81" t="s">
        <v>2209</v>
      </c>
      <c r="B103" s="825" t="str">
        <f>'ADMININSTRACIÓN DIR - OBRA'!B104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53"/>
      <c r="AC103" s="468" t="str">
        <f>OBRA!BX102</f>
        <v>SE HIZO POR MANTENIMIENTO</v>
      </c>
      <c r="AD103" s="355"/>
      <c r="AE103" s="355"/>
    </row>
    <row r="104" spans="1:31" ht="75.75" hidden="1" customHeight="1">
      <c r="A104" s="22" t="s">
        <v>2209</v>
      </c>
      <c r="B104" s="814" t="str">
        <f>'ADMININSTRACIÓN DIR - OBRA'!B105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'ADMININSTRACIÓN DIR - OBRA'!B106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'ADMININSTRACIÓN DIR - OBRA'!B107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'ADMININSTRACIÓN DIR - OBRA'!B108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'ADMININSTRACIÓN DIR - OBRA'!B109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'ADMININSTRACIÓN DIR - OBRA'!B110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'ADMININSTRACIÓN DIR - OBRA'!B111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'ADMININSTRACIÓN DIR - OBRA'!B112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'ADMININSTRACIÓN DIR - OBRA'!B113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'ADMININSTRACIÓN DIR - OBRA'!B114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'ADMININSTRACIÓN DIR - OBRA'!B115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'ADMININSTRACIÓN DIR - OBRA'!B116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'ADMININSTRACIÓN DIR - OBRA'!B117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'ADMININSTRACIÓN DIR - OBRA'!B118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'ADMININSTRACIÓN DIR - OBRA'!B119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'ADMININSTRACIÓN DIR - OBRA'!B120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'ADMININSTRACIÓN DIR - OBRA'!B121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52"/>
      <c r="AC120" s="385">
        <f>OBRA!BX119</f>
        <v>0</v>
      </c>
      <c r="AD120" s="354"/>
      <c r="AE120" s="354" t="s">
        <v>550</v>
      </c>
    </row>
    <row r="121" spans="1:31" ht="60.75" hidden="1" customHeight="1">
      <c r="A121" s="22" t="s">
        <v>2209</v>
      </c>
      <c r="B121" s="814" t="str">
        <f>'ADMININSTRACIÓN DIR - OBRA'!B122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'ADMININSTRACIÓN DIR - OBRA'!B123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'ADMININSTRACIÓN DIR - OBRA'!B124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'ADMININSTRACIÓN DIR - OBRA'!B125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'ADMININSTRACIÓN DIR - OBRA'!B126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'ADMININSTRACIÓN DIR - OBRA'!B127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'ADMININSTRACIÓN DIR - OBRA'!B128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53"/>
      <c r="AC127" s="318">
        <f>OBRA!BX126</f>
        <v>0</v>
      </c>
      <c r="AD127" s="353"/>
      <c r="AE127" s="353"/>
    </row>
    <row r="128" spans="1:31" ht="45.75" hidden="1" customHeight="1">
      <c r="A128" s="22" t="s">
        <v>2209</v>
      </c>
      <c r="B128" s="814" t="str">
        <f>'ADMININSTRACIÓN DIR - OBRA'!B129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'ADMININSTRACIÓN DIR - OBRA'!B130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'ADMININSTRACIÓN DIR - OBRA'!B131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'ADMININSTRACIÓN DIR - OBRA'!B132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'ADMININSTRACIÓN DIR - OBRA'!B133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'ADMININSTRACIÓN DIR - OBRA'!B134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'ADMININSTRACIÓN DIR - OBRA'!B135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'ADMININSTRACIÓN DIR - OBRA'!B136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54"/>
      <c r="AC135" s="318" t="str">
        <f>OBRA!BX134</f>
        <v>CLASULA SEGUNDA</v>
      </c>
      <c r="AD135" s="353"/>
      <c r="AE135" s="353" t="s">
        <v>550</v>
      </c>
    </row>
    <row r="136" spans="1:31" s="104" customFormat="1" ht="75.75" hidden="1" customHeight="1">
      <c r="A136" s="81" t="s">
        <v>2209</v>
      </c>
      <c r="B136" s="825" t="str">
        <f>'ADMININSTRACIÓN DIR - OBRA'!B137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53"/>
      <c r="AC136" s="468">
        <f>OBRA!BX135</f>
        <v>0</v>
      </c>
      <c r="AD136" s="355"/>
      <c r="AE136" s="355"/>
    </row>
    <row r="137" spans="1:31" ht="105.75" hidden="1" customHeight="1">
      <c r="A137" s="22" t="s">
        <v>2209</v>
      </c>
      <c r="B137" s="814" t="str">
        <f>'ADMININSTRACIÓN DIR - OBRA'!B138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'ADMININSTRACIÓN DIR - OBRA'!B139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'ADMININSTRACIÓN DIR - OBRA'!B140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'ADMININSTRACIÓN DIR - OBRA'!B141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'ADMININSTRACIÓN DIR - OBRA'!B142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'ADMININSTRACIÓN DIR - OBRA'!B143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'ADMININSTRACIÓN DIR - OBRA'!B144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'ADMININSTRACIÓN DIR - OBRA'!B145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'ADMININSTRACIÓN DIR - OBRA'!B146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'ADMININSTRACIÓN DIR - OBRA'!B147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'ADMININSTRACIÓN DIR - OBRA'!B148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'ADMININSTRACIÓN DIR - OBRA'!B149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'ADMININSTRACIÓN DIR - OBRA'!B150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'ADMININSTRACIÓN DIR - OBRA'!B151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'ADMININSTRACIÓN DIR - OBRA'!B152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'ADMININSTRACIÓN DIR - OBRA'!B153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'ADMININSTRACIÓN DIR - OBRA'!B154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'ADMININSTRACIÓN DIR - OBRA'!B155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'ADMININSTRACIÓN DIR - OBRA'!B156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'ADMININSTRACIÓN DIR - OBRA'!B157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'ADMININSTRACIÓN DIR - OBRA'!B158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'ADMININSTRACIÓN DIR - OBRA'!B159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'ADMININSTRACIÓN DIR - OBRA'!B160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'ADMININSTRACIÓN DIR - OBRA'!B161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'ADMININSTRACIÓN DIR - OBRA'!B162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'ADMININSTRACIÓN DIR - OBRA'!B163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'ADMININSTRACIÓN DIR - OBRA'!B164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'ADMININSTRACIÓN DIR - OBRA'!B165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'ADMININSTRACIÓN DIR - OBRA'!B166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'ADMININSTRACIÓN DIR - OBRA'!B167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'ADMININSTRACIÓN DIR - OBRA'!B168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'ADMININSTRACIÓN DIR - OBRA'!B169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'ADMININSTRACIÓN DIR - OBRA'!B170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'ADMININSTRACIÓN DIR - OBRA'!B171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'ADMININSTRACIÓN DIR - OBRA'!B172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'ADMININSTRACIÓN DIR - OBRA'!B173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'ADMININSTRACIÓN DIR - OBRA'!B174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'ADMININSTRACIÓN DIR - OBRA'!B175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'ADMININSTRACIÓN DIR - OBRA'!B176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'ADMININSTRACIÓN DIR - OBRA'!B177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'ADMININSTRACIÓN DIR - OBRA'!B178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'ADMININSTRACIÓN DIR - OBRA'!B179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'ADMININSTRACIÓN DIR - OBRA'!B180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'ADMININSTRACIÓN DIR - OBRA'!B181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'ADMININSTRACIÓN DIR - OBRA'!B182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'ADMININSTRACIÓN DIR - OBRA'!B183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'ADMININSTRACIÓN DIR - OBRA'!B184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'ADMININSTRACIÓN DIR - OBRA'!B185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53"/>
      <c r="AC184" s="468" t="str">
        <f>OBRA!BX183</f>
        <v>CANCELADO</v>
      </c>
      <c r="AD184" s="355"/>
      <c r="AE184" s="355"/>
    </row>
    <row r="185" spans="1:31" ht="120" hidden="1" customHeight="1">
      <c r="A185" s="22" t="s">
        <v>2209</v>
      </c>
      <c r="B185" s="814" t="str">
        <f>'ADMININSTRACIÓN DIR - OBRA'!B186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'ADMININSTRACIÓN DIR - OBRA'!B187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'ADMININSTRACIÓN DIR - OBRA'!B188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'ADMININSTRACIÓN DIR - OBRA'!B189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'ADMININSTRACIÓN DIR - OBRA'!B190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'ADMININSTRACIÓN DIR - OBRA'!B191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'ADMININSTRACIÓN DIR - OBRA'!B192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53"/>
      <c r="AC191" s="468">
        <f>OBRA!BX190</f>
        <v>0</v>
      </c>
      <c r="AD191" s="355"/>
      <c r="AE191" s="355"/>
    </row>
    <row r="192" spans="1:31" s="104" customFormat="1" ht="26.25" hidden="1" customHeight="1">
      <c r="A192" s="81" t="s">
        <v>2209</v>
      </c>
      <c r="B192" s="825" t="str">
        <f>'ADMININSTRACIÓN DIR - OBRA'!B193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53"/>
      <c r="AC192" s="468">
        <f>OBRA!BX191</f>
        <v>0</v>
      </c>
      <c r="AD192" s="355"/>
      <c r="AE192" s="355"/>
    </row>
    <row r="193" spans="1:31" ht="60" hidden="1" customHeight="1">
      <c r="A193" s="22" t="s">
        <v>2209</v>
      </c>
      <c r="B193" s="814" t="str">
        <f>'ADMININSTRACIÓN DIR - OBRA'!B194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'ADMININSTRACIÓN DIR - OBRA'!B195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'ADMININSTRACIÓN DIR - OBRA'!B196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'ADMININSTRACIÓN DIR - OBRA'!B197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'ADMININSTRACIÓN DIR - OBRA'!B198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'ADMININSTRACIÓN DIR - OBRA'!B199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'ADMININSTRACIÓN DIR - OBRA'!B200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'ADMININSTRACIÓN DIR - OBRA'!B201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'ADMININSTRACIÓN DIR - OBRA'!B202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'ADMININSTRACIÓN DIR - OBRA'!B203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'ADMININSTRACIÓN DIR - OBRA'!B204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'ADMININSTRACIÓN DIR - OBRA'!B205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'ADMININSTRACIÓN DIR - OBRA'!B206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'ADMININSTRACIÓN DIR - OBRA'!B207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'ADMININSTRACIÓN DIR - OBRA'!B208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'ADMININSTRACIÓN DIR - OBRA'!B209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'ADMININSTRACIÓN DIR - OBRA'!B210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'ADMININSTRACIÓN DIR - OBRA'!B211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'ADMININSTRACIÓN DIR - OBRA'!B212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'ADMININSTRACIÓN DIR - OBRA'!B213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'ADMININSTRACIÓN DIR - OBRA'!B214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'ADMININSTRACIÓN DIR - OBRA'!B215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'ADMININSTRACIÓN DIR - OBRA'!B216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'ADMININSTRACIÓN DIR - OBRA'!B217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'ADMININSTRACIÓN DIR - OBRA'!B218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53"/>
      <c r="AC217" s="468">
        <f>OBRA!BX216</f>
        <v>0</v>
      </c>
      <c r="AD217" s="355"/>
      <c r="AE217" s="355"/>
    </row>
    <row r="218" spans="1:31" ht="30" hidden="1" customHeight="1">
      <c r="A218" s="22" t="s">
        <v>2209</v>
      </c>
      <c r="B218" s="814" t="str">
        <f>'ADMININSTRACIÓN DIR - OBRA'!B219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'ADMININSTRACIÓN DIR - OBRA'!B220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'ADMININSTRACIÓN DIR - OBRA'!B221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'ADMININSTRACIÓN DIR - OBRA'!B222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'ADMININSTRACIÓN DIR - OBRA'!B223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'ADMININSTRACIÓN DIR - OBRA'!B224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53"/>
      <c r="AC223" s="468">
        <f>OBRA!BX222</f>
        <v>0</v>
      </c>
      <c r="AD223" s="355"/>
      <c r="AE223" s="355"/>
    </row>
    <row r="224" spans="1:31" s="104" customFormat="1" ht="30" hidden="1" customHeight="1">
      <c r="A224" s="81" t="s">
        <v>2209</v>
      </c>
      <c r="B224" s="825" t="str">
        <f>'ADMININSTRACIÓN DIR - OBRA'!B225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53"/>
      <c r="AC224" s="468">
        <f>OBRA!BX223</f>
        <v>0</v>
      </c>
      <c r="AD224" s="355"/>
      <c r="AE224" s="355"/>
    </row>
    <row r="225" spans="1:31" ht="30" hidden="1" customHeight="1">
      <c r="A225" s="22" t="s">
        <v>2209</v>
      </c>
      <c r="B225" s="814" t="str">
        <f>'ADMININSTRACIÓN DIR - OBRA'!B226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'ADMININSTRACIÓN DIR - OBRA'!B227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53"/>
      <c r="AC226" s="468">
        <f>OBRA!BX225</f>
        <v>0</v>
      </c>
      <c r="AD226" s="355"/>
      <c r="AE226" s="355"/>
    </row>
    <row r="227" spans="1:31" ht="354" hidden="1" customHeight="1">
      <c r="A227" s="22" t="s">
        <v>2209</v>
      </c>
      <c r="B227" s="814" t="str">
        <f>'ADMININSTRACIÓN DIR - OBRA'!B228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'ADMININSTRACIÓN DIR - OBRA'!B229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'ADMININSTRACIÓN DIR - OBRA'!B230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'ADMININSTRACIÓN DIR - OBRA'!B231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'ADMININSTRACIÓN DIR - OBRA'!B232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'ADMININSTRACIÓN DIR - OBRA'!B233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'ADMININSTRACIÓN DIR - OBRA'!B234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'ADMININSTRACIÓN DIR - OBRA'!B235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'ADMININSTRACIÓN DIR - OBRA'!B236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'ADMININSTRACIÓN DIR - OBRA'!B237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'ADMININSTRACIÓN DIR - OBRA'!B238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'ADMININSTRACIÓN DIR - OBRA'!B239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'ADMININSTRACIÓN DIR - OBRA'!B240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'ADMININSTRACIÓN DIR - OBRA'!B241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'ADMININSTRACIÓN DIR - OBRA'!B242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'ADMININSTRACIÓN DIR - OBRA'!B243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'ADMININSTRACIÓN DIR - OBRA'!B244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'ADMININSTRACIÓN DIR - OBRA'!B245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'ADMININSTRACIÓN DIR - OBRA'!B246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'ADMININSTRACIÓN DIR - OBRA'!B247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'ADMININSTRACIÓN DIR - OBRA'!B248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'ADMININSTRACIÓN DIR - OBRA'!B249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'ADMININSTRACIÓN DIR - OBRA'!B250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'ADMININSTRACIÓN DIR - OBRA'!B251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'ADMININSTRACIÓN DIR - OBRA'!B252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'ADMININSTRACIÓN DIR - OBRA'!B253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'ADMININSTRACIÓN DIR - OBRA'!B254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'ADMININSTRACIÓN DIR - OBRA'!B255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'ADMININSTRACIÓN DIR - OBRA'!B256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'ADMININSTRACIÓN DIR - OBRA'!B257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'ADMININSTRACIÓN DIR - OBRA'!B258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'ADMININSTRACIÓN DIR - OBRA'!B259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'ADMININSTRACIÓN DIR - OBRA'!B260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'ADMININSTRACIÓN DIR - OBRA'!B261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'ADMININSTRACIÓN DIR - OBRA'!B262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'ADMININSTRACIÓN DIR - OBRA'!B263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'ADMININSTRACIÓN DIR - OBRA'!B264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'ADMININSTRACIÓN DIR - OBRA'!B265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'ADMININSTRACIÓN DIR - OBRA'!B266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53"/>
      <c r="AC265" s="468">
        <f>OBRA!BX264</f>
        <v>0</v>
      </c>
      <c r="AD265" s="355"/>
      <c r="AE265" s="355"/>
    </row>
    <row r="266" spans="1:31" ht="105" hidden="1" customHeight="1">
      <c r="A266" s="22" t="s">
        <v>2209</v>
      </c>
      <c r="B266" s="814" t="str">
        <f>'ADMININSTRACIÓN DIR - OBRA'!B267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'ADMININSTRACIÓN DIR - OBRA'!B268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'ADMININSTRACIÓN DIR - OBRA'!B269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'ADMININSTRACIÓN DIR - OBRA'!B270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'ADMININSTRACIÓN DIR - OBRA'!B271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53"/>
      <c r="AC270" s="468">
        <f>OBRA!BX269</f>
        <v>0</v>
      </c>
      <c r="AD270" s="355"/>
      <c r="AE270" s="355"/>
    </row>
    <row r="271" spans="1:31" ht="30" hidden="1" customHeight="1">
      <c r="A271" s="22" t="s">
        <v>2209</v>
      </c>
      <c r="B271" s="814" t="str">
        <f>'ADMININSTRACIÓN DIR - OBRA'!B272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'ADMININSTRACIÓN DIR - OBRA'!B273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'ADMININSTRACIÓN DIR - OBRA'!B274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'ADMININSTRACIÓN DIR - OBRA'!B275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'ADMININSTRACIÓN DIR - OBRA'!B276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'ADMININSTRACIÓN DIR - OBRA'!B277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'ADMININSTRACIÓN DIR - OBRA'!B278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'ADMININSTRACIÓN DIR - OBRA'!B279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53"/>
      <c r="AC278" s="468">
        <f>OBRA!BX277</f>
        <v>0</v>
      </c>
      <c r="AD278" s="355"/>
      <c r="AE278" s="355"/>
    </row>
    <row r="279" spans="1:31" ht="81.75" hidden="1" customHeight="1">
      <c r="A279" s="22" t="s">
        <v>2209</v>
      </c>
      <c r="B279" s="814" t="str">
        <f>'ADMININSTRACIÓN DIR - OBRA'!B280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'ADMININSTRACIÓN DIR - OBRA'!B281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'ADMININSTRACIÓN DIR - OBRA'!B282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'ADMININSTRACIÓN DIR - OBRA'!B283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'ADMININSTRACIÓN DIR - OBRA'!B284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'ADMININSTRACIÓN DIR - OBRA'!B285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'ADMININSTRACIÓN DIR - OBRA'!B286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'ADMININSTRACIÓN DIR - OBRA'!B287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'ADMININSTRACIÓN DIR - OBRA'!B288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'ADMININSTRACIÓN DIR - OBRA'!B289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'ADMININSTRACIÓN DIR - OBRA'!B290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'ADMININSTRACIÓN DIR - OBRA'!B291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'ADMININSTRACIÓN DIR - OBRA'!B292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'ADMININSTRACIÓN DIR - OBRA'!B293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'ADMININSTRACIÓN DIR - OBRA'!B294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'ADMININSTRACIÓN DIR - OBRA'!B295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'ADMININSTRACIÓN DIR - OBRA'!B293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'ADMININSTRACIÓN DIR - OBRA'!B297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'ADMININSTRACIÓN DIR - OBRA'!B298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'ADMININSTRACIÓN DIR - OBRA'!B299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'ADMININSTRACIÓN DIR - OBRA'!B300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53"/>
      <c r="AC299" s="468">
        <f>OBRA!BX298</f>
        <v>0</v>
      </c>
      <c r="AD299" s="355"/>
      <c r="AE299" s="355"/>
    </row>
    <row r="300" spans="1:31" ht="15" hidden="1" customHeight="1">
      <c r="A300" s="22" t="s">
        <v>2209</v>
      </c>
      <c r="B300" s="814" t="str">
        <f>'ADMININSTRACIÓN DIR - OBRA'!B301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'ADMININSTRACIÓN DIR - OBRA'!B302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53"/>
      <c r="AC301" s="468">
        <f>OBRA!BX300</f>
        <v>0</v>
      </c>
      <c r="AD301" s="355"/>
      <c r="AE301" s="355"/>
    </row>
    <row r="302" spans="1:31" s="104" customFormat="1" ht="15" hidden="1" customHeight="1">
      <c r="A302" s="81" t="s">
        <v>2209</v>
      </c>
      <c r="B302" s="825" t="str">
        <f>'ADMININSTRACIÓN DIR - OBRA'!B303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53"/>
      <c r="AC302" s="468">
        <f>OBRA!BX301</f>
        <v>0</v>
      </c>
      <c r="AD302" s="355"/>
      <c r="AE302" s="355"/>
    </row>
    <row r="303" spans="1:31" s="104" customFormat="1" ht="15" hidden="1" customHeight="1">
      <c r="A303" s="81" t="s">
        <v>2209</v>
      </c>
      <c r="B303" s="825" t="str">
        <f>'ADMININSTRACIÓN DIR - OBRA'!B304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53"/>
      <c r="AC303" s="468">
        <f>OBRA!BX302</f>
        <v>0</v>
      </c>
      <c r="AD303" s="355"/>
      <c r="AE303" s="355"/>
    </row>
    <row r="304" spans="1:31" ht="15" hidden="1" customHeight="1">
      <c r="A304" s="22" t="s">
        <v>2209</v>
      </c>
      <c r="B304" s="814" t="str">
        <f>'ADMININSTRACIÓN DIR - OBRA'!B305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'ADMININSTRACIÓN DIR - OBRA'!B306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'ADMININSTRACIÓN DIR - OBRA'!B307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'ADMININSTRACIÓN DIR - OBRA'!B308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'ADMININSTRACIÓN DIR - OBRA'!B309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'ADMININSTRACIÓN DIR - OBRA'!B310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53"/>
      <c r="AC309" s="468">
        <f>OBRA!BX308</f>
        <v>0</v>
      </c>
      <c r="AD309" s="355"/>
      <c r="AE309" s="355"/>
    </row>
    <row r="310" spans="1:31" ht="15" hidden="1" customHeight="1">
      <c r="A310" s="22" t="s">
        <v>2209</v>
      </c>
      <c r="B310" s="814" t="str">
        <f>'ADMININSTRACIÓN DIR - OBRA'!B311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'ADMININSTRACIÓN DIR - OBRA'!B312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'ADMININSTRACIÓN DIR - OBRA'!B313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'ADMININSTRACIÓN DIR - OBRA'!B314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53"/>
      <c r="AC313" s="468">
        <f>OBRA!BX312</f>
        <v>0</v>
      </c>
      <c r="AD313" s="355"/>
      <c r="AE313" s="355"/>
    </row>
    <row r="314" spans="1:31" ht="30" hidden="1" customHeight="1">
      <c r="A314" s="22" t="s">
        <v>2209</v>
      </c>
      <c r="B314" s="814" t="str">
        <f>'ADMININSTRACIÓN DIR - OBRA'!B315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'ADMININSTRACIÓN DIR - OBRA'!B316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3491</v>
      </c>
      <c r="P315" s="6">
        <f>OBRA!T314</f>
        <v>43137</v>
      </c>
      <c r="Q315" s="4">
        <f>OBRA!S314</f>
        <v>844622.8</v>
      </c>
      <c r="R315" s="5">
        <f>OBRA!U314</f>
        <v>43137</v>
      </c>
      <c r="S315" s="11">
        <f>OBRA!V314</f>
        <v>43168</v>
      </c>
      <c r="T315" s="1381" t="s">
        <v>3819</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'ADMININSTRACIÓN DIR - OBRA'!B317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'ADMININSTRACIÓN DIR - OBRA'!B318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'ADMININSTRACIÓN DIR - OBRA'!B319</f>
        <v>2015-2018</v>
      </c>
      <c r="C318" s="16">
        <f>OBRA!K317</f>
        <v>2018</v>
      </c>
      <c r="D318" s="1444"/>
      <c r="E318" s="17" t="str">
        <f>OBRA!N317</f>
        <v>CUENTA CORRIENTE</v>
      </c>
      <c r="F318" s="479" t="s">
        <v>1427</v>
      </c>
      <c r="G318" s="503" t="s">
        <v>3670</v>
      </c>
      <c r="H318" s="496" t="s">
        <v>3670</v>
      </c>
      <c r="I318" s="503" t="s">
        <v>3670</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3491</v>
      </c>
      <c r="P318" s="6">
        <f>OBRA!T317</f>
        <v>43224</v>
      </c>
      <c r="Q318" s="4">
        <f>OBRA!S317</f>
        <v>500000</v>
      </c>
      <c r="R318" s="5">
        <f>OBRA!U317</f>
        <v>43228</v>
      </c>
      <c r="S318" s="11">
        <f>OBRA!V317</f>
        <v>43321</v>
      </c>
      <c r="T318" s="208" t="s">
        <v>3818</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'ADMININSTRACIÓN DIR - OBRA'!B320</f>
        <v>2015-2018</v>
      </c>
      <c r="C319" s="16">
        <f>OBRA!K318</f>
        <v>2018</v>
      </c>
      <c r="D319" s="1444"/>
      <c r="E319" s="17" t="str">
        <f>OBRA!N318</f>
        <v>RAMO 33</v>
      </c>
      <c r="F319" s="479" t="s">
        <v>1427</v>
      </c>
      <c r="G319" s="503" t="s">
        <v>3671</v>
      </c>
      <c r="H319" s="527" t="s">
        <v>3671</v>
      </c>
      <c r="I319" s="503" t="s">
        <v>3671</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3491</v>
      </c>
      <c r="P319" s="67">
        <f>OBRA!T318</f>
        <v>43221</v>
      </c>
      <c r="Q319" s="79">
        <f>OBRA!S318</f>
        <v>688990.42</v>
      </c>
      <c r="R319" s="5">
        <f>OBRA!U318</f>
        <v>43224</v>
      </c>
      <c r="S319" s="11">
        <f>OBRA!V318</f>
        <v>43285</v>
      </c>
      <c r="T319" s="1381" t="s">
        <v>3819</v>
      </c>
      <c r="U319" s="62" t="s">
        <v>1427</v>
      </c>
      <c r="V319" s="500" t="s">
        <v>3671</v>
      </c>
      <c r="W319" s="589" t="s">
        <v>3671</v>
      </c>
      <c r="X319" s="1006">
        <f>OBRA!AS318</f>
        <v>68899.039999999994</v>
      </c>
      <c r="Y319" s="310"/>
      <c r="Z319" s="310"/>
      <c r="AA319" s="5"/>
      <c r="AB319" s="314"/>
      <c r="AC319" s="318">
        <f>OBRA!BX318</f>
        <v>0</v>
      </c>
      <c r="AD319" s="353"/>
      <c r="AE319" s="353"/>
    </row>
    <row r="320" spans="1:31" ht="134.25" hidden="1" customHeight="1">
      <c r="A320" s="22" t="s">
        <v>2209</v>
      </c>
      <c r="B320" s="814" t="str">
        <f>'ADMININSTRACIÓN DIR - OBRA'!B321</f>
        <v>2015-2018</v>
      </c>
      <c r="C320" s="16">
        <f>OBRA!K319</f>
        <v>2018</v>
      </c>
      <c r="D320" s="1444"/>
      <c r="E320" s="17" t="str">
        <f>OBRA!N319</f>
        <v>RAMO 33</v>
      </c>
      <c r="F320" s="479" t="s">
        <v>1427</v>
      </c>
      <c r="G320" s="508"/>
      <c r="H320" s="527" t="s">
        <v>3672</v>
      </c>
      <c r="I320" s="503" t="s">
        <v>3672</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3491</v>
      </c>
      <c r="P320" s="67">
        <f>OBRA!T319</f>
        <v>43255</v>
      </c>
      <c r="Q320" s="79">
        <f>OBRA!S319</f>
        <v>343705.8</v>
      </c>
      <c r="R320" s="5">
        <f>OBRA!U319</f>
        <v>43257</v>
      </c>
      <c r="S320" s="11">
        <f>OBRA!V319</f>
        <v>43322</v>
      </c>
      <c r="T320" s="1381" t="s">
        <v>3819</v>
      </c>
      <c r="U320" s="62" t="s">
        <v>1427</v>
      </c>
      <c r="V320" s="500" t="s">
        <v>3672</v>
      </c>
      <c r="W320" s="589" t="s">
        <v>3672</v>
      </c>
      <c r="X320" s="1007">
        <f>OBRA!AS319</f>
        <v>68741.16</v>
      </c>
      <c r="Y320" s="310"/>
      <c r="Z320" s="310"/>
      <c r="AA320" s="5"/>
      <c r="AB320" s="314"/>
      <c r="AC320" s="318">
        <f>OBRA!BX319</f>
        <v>0</v>
      </c>
      <c r="AD320" s="353"/>
      <c r="AE320" s="353"/>
    </row>
    <row r="321" spans="1:31" s="104" customFormat="1" ht="15" hidden="1" customHeight="1">
      <c r="A321" s="81" t="s">
        <v>2209</v>
      </c>
      <c r="B321" s="825" t="str">
        <f>'ADMININSTRACIÓN DIR - OBRA'!B322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53"/>
      <c r="AC321" s="468">
        <f>OBRA!BX320</f>
        <v>0</v>
      </c>
      <c r="AD321" s="355"/>
      <c r="AE321" s="355"/>
    </row>
    <row r="322" spans="1:31" ht="145.5" hidden="1" customHeight="1">
      <c r="A322" s="22" t="s">
        <v>2209</v>
      </c>
      <c r="B322" s="814" t="str">
        <f>'ADMININSTRACIÓN DIR - OBRA'!B323</f>
        <v>2015-2018</v>
      </c>
      <c r="C322" s="16">
        <f>OBRA!K321</f>
        <v>2018</v>
      </c>
      <c r="D322" s="1444"/>
      <c r="E322" s="17" t="str">
        <f>OBRA!N321</f>
        <v>RAMO 33</v>
      </c>
      <c r="F322" s="479" t="s">
        <v>1427</v>
      </c>
      <c r="G322" s="503" t="s">
        <v>3673</v>
      </c>
      <c r="H322" s="527" t="s">
        <v>3673</v>
      </c>
      <c r="I322" s="503" t="s">
        <v>3673</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3491</v>
      </c>
      <c r="P322" s="6">
        <f>OBRA!T321</f>
        <v>43222</v>
      </c>
      <c r="Q322" s="4">
        <f>OBRA!S321</f>
        <v>142361.85</v>
      </c>
      <c r="R322" s="5">
        <f>OBRA!U321</f>
        <v>43224</v>
      </c>
      <c r="S322" s="11">
        <f>OBRA!V321</f>
        <v>43255</v>
      </c>
      <c r="T322" s="1381" t="s">
        <v>3819</v>
      </c>
      <c r="U322" s="378" t="s">
        <v>1427</v>
      </c>
      <c r="V322" s="538"/>
      <c r="W322" s="589" t="s">
        <v>3673</v>
      </c>
      <c r="X322" s="1007">
        <f>OBRA!AS321</f>
        <v>393883.2</v>
      </c>
      <c r="Y322" s="310"/>
      <c r="Z322" s="310"/>
      <c r="AA322" s="5"/>
      <c r="AB322" s="314"/>
      <c r="AC322" s="318">
        <f>OBRA!BX321</f>
        <v>0</v>
      </c>
      <c r="AD322" s="353"/>
      <c r="AE322" s="353"/>
    </row>
    <row r="323" spans="1:31" ht="160.5" hidden="1" customHeight="1">
      <c r="A323" s="22" t="s">
        <v>2209</v>
      </c>
      <c r="B323" s="814" t="str">
        <f>'ADMININSTRACIÓN DIR - OBRA'!B324</f>
        <v>2015-2018</v>
      </c>
      <c r="C323" s="16">
        <f>OBRA!K322</f>
        <v>2018</v>
      </c>
      <c r="D323" s="1444"/>
      <c r="E323" s="17" t="str">
        <f>OBRA!N322</f>
        <v>FONDEREG</v>
      </c>
      <c r="F323" s="649" t="s">
        <v>3668</v>
      </c>
      <c r="G323" s="503" t="s">
        <v>3677</v>
      </c>
      <c r="H323" s="527" t="s">
        <v>3677</v>
      </c>
      <c r="I323" s="503" t="s">
        <v>3677</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3491</v>
      </c>
      <c r="P323" s="67">
        <f>OBRA!T322</f>
        <v>43253</v>
      </c>
      <c r="Q323" s="79">
        <f>OBRA!S322</f>
        <v>526676.22</v>
      </c>
      <c r="R323" s="5">
        <f>OBRA!U322</f>
        <v>43261</v>
      </c>
      <c r="S323" s="11">
        <f>OBRA!V322</f>
        <v>43322</v>
      </c>
      <c r="T323" s="1381" t="s">
        <v>3819</v>
      </c>
      <c r="U323" s="503" t="s">
        <v>3677</v>
      </c>
      <c r="V323" s="499" t="s">
        <v>3677</v>
      </c>
      <c r="W323" s="589" t="s">
        <v>3677</v>
      </c>
      <c r="X323" s="1007">
        <f>OBRA!AS322</f>
        <v>105335.24</v>
      </c>
      <c r="Y323" s="310"/>
      <c r="Z323" s="310"/>
      <c r="AA323" s="5"/>
      <c r="AB323" s="314"/>
      <c r="AC323" s="318">
        <f>OBRA!BX322</f>
        <v>0</v>
      </c>
      <c r="AD323" s="353"/>
      <c r="AE323" s="353" t="s">
        <v>550</v>
      </c>
    </row>
    <row r="324" spans="1:31" ht="113.25" hidden="1" customHeight="1">
      <c r="A324" s="22" t="s">
        <v>2209</v>
      </c>
      <c r="B324" s="814" t="str">
        <f>'ADMININSTRACIÓN DIR - OBRA'!B325</f>
        <v>2015-2018</v>
      </c>
      <c r="C324" s="16">
        <f>OBRA!K323</f>
        <v>2018</v>
      </c>
      <c r="D324" s="1444"/>
      <c r="E324" s="17" t="str">
        <f>OBRA!N323</f>
        <v>RAMO 33</v>
      </c>
      <c r="F324" s="479" t="s">
        <v>1427</v>
      </c>
      <c r="G324" s="503" t="s">
        <v>3674</v>
      </c>
      <c r="H324" s="527" t="s">
        <v>3674</v>
      </c>
      <c r="I324" s="503" t="s">
        <v>3674</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3491</v>
      </c>
      <c r="P324" s="67">
        <f>OBRA!T323</f>
        <v>43242</v>
      </c>
      <c r="Q324" s="79">
        <f>OBRA!S323</f>
        <v>177478.77</v>
      </c>
      <c r="R324" s="5">
        <f>OBRA!U323</f>
        <v>43243</v>
      </c>
      <c r="S324" s="11">
        <f>OBRA!V323</f>
        <v>43283</v>
      </c>
      <c r="T324" s="1381" t="s">
        <v>3819</v>
      </c>
      <c r="U324" s="62" t="s">
        <v>1427</v>
      </c>
      <c r="V324" s="500" t="s">
        <v>3674</v>
      </c>
      <c r="W324" s="589" t="s">
        <v>3674</v>
      </c>
      <c r="X324" s="1006">
        <f>OBRA!AS323</f>
        <v>0</v>
      </c>
      <c r="Y324" s="310"/>
      <c r="Z324" s="310"/>
      <c r="AA324" s="5"/>
      <c r="AB324" s="314"/>
      <c r="AC324" s="318">
        <f>OBRA!BX323</f>
        <v>0</v>
      </c>
      <c r="AD324" s="353"/>
      <c r="AE324" s="353"/>
    </row>
    <row r="325" spans="1:31" ht="107.25" hidden="1" customHeight="1">
      <c r="A325" s="22" t="s">
        <v>2209</v>
      </c>
      <c r="B325" s="814" t="str">
        <f>'ADMININSTRACIÓN DIR - OBRA'!B326</f>
        <v>2015-2018</v>
      </c>
      <c r="C325" s="16">
        <f>OBRA!K324</f>
        <v>2018</v>
      </c>
      <c r="D325" s="1444"/>
      <c r="E325" s="17" t="str">
        <f>OBRA!N324</f>
        <v>RAMO 33</v>
      </c>
      <c r="F325" s="479" t="s">
        <v>1427</v>
      </c>
      <c r="G325" s="503" t="s">
        <v>3675</v>
      </c>
      <c r="H325" s="527" t="s">
        <v>3675</v>
      </c>
      <c r="I325" s="503" t="s">
        <v>3675</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3492</v>
      </c>
      <c r="P325" s="67">
        <f>OBRA!T324</f>
        <v>43242</v>
      </c>
      <c r="Q325" s="79">
        <f>OBRA!S324</f>
        <v>247048.85</v>
      </c>
      <c r="R325" s="5">
        <f>OBRA!U324</f>
        <v>43243</v>
      </c>
      <c r="S325" s="11">
        <f>OBRA!V324</f>
        <v>43283</v>
      </c>
      <c r="T325" s="1381" t="s">
        <v>3819</v>
      </c>
      <c r="U325" s="62" t="s">
        <v>1427</v>
      </c>
      <c r="V325" s="500" t="s">
        <v>3675</v>
      </c>
      <c r="W325" s="589" t="s">
        <v>3675</v>
      </c>
      <c r="X325" s="1006">
        <f>OBRA!AS324</f>
        <v>24704.880000000001</v>
      </c>
      <c r="Y325" s="310"/>
      <c r="Z325" s="310"/>
      <c r="AA325" s="5"/>
      <c r="AB325" s="314"/>
      <c r="AC325" s="318">
        <f>OBRA!BX324</f>
        <v>0</v>
      </c>
      <c r="AD325" s="353"/>
      <c r="AE325" s="353"/>
    </row>
    <row r="326" spans="1:31" ht="171.75" hidden="1" customHeight="1">
      <c r="A326" s="22" t="s">
        <v>2209</v>
      </c>
      <c r="B326" s="814" t="str">
        <f>'ADMININSTRACIÓN DIR - OBRA'!B327</f>
        <v>2015-2018</v>
      </c>
      <c r="C326" s="16">
        <f>OBRA!K325</f>
        <v>2018</v>
      </c>
      <c r="D326" s="1444"/>
      <c r="E326" s="17" t="str">
        <f>OBRA!N325</f>
        <v>FONDEREG</v>
      </c>
      <c r="F326" s="649" t="s">
        <v>3668</v>
      </c>
      <c r="G326" s="503" t="s">
        <v>3676</v>
      </c>
      <c r="H326" s="527" t="s">
        <v>3676</v>
      </c>
      <c r="I326" s="503" t="s">
        <v>3676</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3492</v>
      </c>
      <c r="P326" s="67">
        <f>OBRA!T325</f>
        <v>43304</v>
      </c>
      <c r="Q326" s="79">
        <f>OBRA!S325</f>
        <v>724057.5</v>
      </c>
      <c r="R326" s="5">
        <f>OBRA!U325</f>
        <v>43306</v>
      </c>
      <c r="S326" s="11">
        <f>OBRA!V325</f>
        <v>43342</v>
      </c>
      <c r="T326" s="1381" t="s">
        <v>3819</v>
      </c>
      <c r="U326" s="503" t="s">
        <v>3676</v>
      </c>
      <c r="V326" s="499" t="s">
        <v>3676</v>
      </c>
      <c r="W326" s="589" t="s">
        <v>3676</v>
      </c>
      <c r="X326" s="1007">
        <f>OBRA!AS325</f>
        <v>144810.44</v>
      </c>
      <c r="Y326" s="310"/>
      <c r="Z326" s="310"/>
      <c r="AA326" s="5"/>
      <c r="AB326" s="314"/>
      <c r="AC326" s="318">
        <f>OBRA!BX325</f>
        <v>0</v>
      </c>
      <c r="AD326" s="353"/>
      <c r="AE326" s="353" t="s">
        <v>550</v>
      </c>
    </row>
    <row r="327" spans="1:31" ht="15" hidden="1" customHeight="1">
      <c r="A327" s="22" t="s">
        <v>2209</v>
      </c>
      <c r="B327" s="814" t="str">
        <f>'ADMININSTRACIÓN DIR - OBRA'!B328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'ADMININSTRACIÓN DIR - OBRA'!B329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53"/>
      <c r="AC328" s="468">
        <f>OBRA!BX327</f>
        <v>0</v>
      </c>
      <c r="AD328" s="355"/>
      <c r="AE328" s="355"/>
    </row>
    <row r="329" spans="1:31" ht="132" hidden="1" customHeight="1">
      <c r="A329" s="22" t="s">
        <v>2209</v>
      </c>
      <c r="B329" s="814" t="str">
        <f>'ADMININSTRACIÓN DIR - OBRA'!B330</f>
        <v>2015-2018</v>
      </c>
      <c r="C329" s="16">
        <f>OBRA!K328</f>
        <v>2018</v>
      </c>
      <c r="D329" s="1444"/>
      <c r="E329" s="17" t="str">
        <f>OBRA!N328</f>
        <v>RAMO 33</v>
      </c>
      <c r="F329" s="479" t="s">
        <v>1427</v>
      </c>
      <c r="G329" s="503" t="s">
        <v>3678</v>
      </c>
      <c r="H329" s="527" t="s">
        <v>3678</v>
      </c>
      <c r="I329" s="503" t="s">
        <v>3678</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3492</v>
      </c>
      <c r="P329" s="67">
        <f>OBRA!T328</f>
        <v>43255</v>
      </c>
      <c r="Q329" s="79">
        <f>OBRA!S328</f>
        <v>398019.86</v>
      </c>
      <c r="R329" s="5">
        <f>OBRA!U328</f>
        <v>43257</v>
      </c>
      <c r="S329" s="11">
        <f>OBRA!V328</f>
        <v>43322</v>
      </c>
      <c r="T329" s="1381" t="s">
        <v>3819</v>
      </c>
      <c r="U329" s="62" t="s">
        <v>1427</v>
      </c>
      <c r="V329" s="500" t="s">
        <v>3678</v>
      </c>
      <c r="W329" s="589" t="s">
        <v>3678</v>
      </c>
      <c r="X329" s="1007">
        <f>OBRA!AS328</f>
        <v>78541.47</v>
      </c>
      <c r="Y329" s="310"/>
      <c r="Z329" s="310"/>
      <c r="AA329" s="5"/>
      <c r="AB329" s="314"/>
      <c r="AC329" s="318">
        <f>OBRA!BX328</f>
        <v>0</v>
      </c>
      <c r="AD329" s="353"/>
      <c r="AE329" s="353" t="s">
        <v>550</v>
      </c>
    </row>
    <row r="330" spans="1:31" ht="125.25" hidden="1" customHeight="1">
      <c r="A330" s="22" t="s">
        <v>2209</v>
      </c>
      <c r="B330" s="814" t="str">
        <f>'ADMININSTRACIÓN DIR - OBRA'!B331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3492</v>
      </c>
      <c r="P330" s="67">
        <f>OBRA!T329</f>
        <v>43102</v>
      </c>
      <c r="Q330" s="79">
        <f>OBRA!S329</f>
        <v>816694.91</v>
      </c>
      <c r="R330" s="5">
        <f>OBRA!U329</f>
        <v>43104</v>
      </c>
      <c r="S330" s="11">
        <f>OBRA!V329</f>
        <v>43120</v>
      </c>
      <c r="T330" s="208" t="s">
        <v>3818</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'ADMININSTRACIÓN DIR - OBRA'!B332</f>
        <v>2015-2018</v>
      </c>
      <c r="C331" s="16">
        <f>OBRA!K330</f>
        <v>2018</v>
      </c>
      <c r="D331" s="1444"/>
      <c r="E331" s="17" t="str">
        <f>OBRA!N330</f>
        <v>CUENTA CORRIENTE</v>
      </c>
      <c r="F331" s="479" t="s">
        <v>1427</v>
      </c>
      <c r="G331" s="503" t="s">
        <v>3679</v>
      </c>
      <c r="H331" s="527" t="s">
        <v>3679</v>
      </c>
      <c r="I331" s="503" t="s">
        <v>3679</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3492</v>
      </c>
      <c r="P331" s="67">
        <f>OBRA!T330</f>
        <v>43116</v>
      </c>
      <c r="Q331" s="79">
        <f>OBRA!S330</f>
        <v>1079507.02</v>
      </c>
      <c r="R331" s="5">
        <f>OBRA!U330</f>
        <v>43117</v>
      </c>
      <c r="S331" s="11">
        <f>OBRA!V330</f>
        <v>43155</v>
      </c>
      <c r="T331" s="208" t="s">
        <v>3818</v>
      </c>
      <c r="U331" s="62" t="s">
        <v>1427</v>
      </c>
      <c r="V331" s="500" t="s">
        <v>3679</v>
      </c>
      <c r="W331" s="589" t="s">
        <v>3679</v>
      </c>
      <c r="X331" s="1007">
        <f>OBRA!AS330</f>
        <v>215901.01</v>
      </c>
      <c r="Y331" s="310"/>
      <c r="Z331" s="310"/>
      <c r="AA331" s="5"/>
      <c r="AB331" s="314"/>
      <c r="AC331" s="318">
        <f>OBRA!BX330</f>
        <v>0</v>
      </c>
      <c r="AD331" s="353"/>
      <c r="AE331" s="353" t="s">
        <v>550</v>
      </c>
    </row>
    <row r="332" spans="1:31" ht="108" hidden="1" customHeight="1">
      <c r="A332" s="22" t="s">
        <v>2209</v>
      </c>
      <c r="B332" s="814" t="str">
        <f>'ADMININSTRACIÓN DIR - OBRA'!B333</f>
        <v>2015-2018</v>
      </c>
      <c r="C332" s="16">
        <f>OBRA!K331</f>
        <v>2018</v>
      </c>
      <c r="D332" s="1444"/>
      <c r="E332" s="17" t="str">
        <f>OBRA!N331</f>
        <v>CUENTA CORRIENTE</v>
      </c>
      <c r="F332" s="479" t="s">
        <v>1427</v>
      </c>
      <c r="G332" s="503" t="s">
        <v>3680</v>
      </c>
      <c r="H332" s="527" t="s">
        <v>3680</v>
      </c>
      <c r="I332" s="503" t="s">
        <v>3680</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3492</v>
      </c>
      <c r="P332" s="67">
        <f>OBRA!T331</f>
        <v>43123</v>
      </c>
      <c r="Q332" s="79">
        <f>OBRA!S331</f>
        <v>550277.97</v>
      </c>
      <c r="R332" s="5">
        <f>OBRA!U331</f>
        <v>43157</v>
      </c>
      <c r="S332" s="11">
        <f>OBRA!V331</f>
        <v>43169</v>
      </c>
      <c r="T332" s="208" t="s">
        <v>3818</v>
      </c>
      <c r="U332" s="62" t="s">
        <v>1427</v>
      </c>
      <c r="V332" s="500" t="s">
        <v>3680</v>
      </c>
      <c r="W332" s="589" t="s">
        <v>3680</v>
      </c>
      <c r="X332" s="1007">
        <f>OBRA!AS331</f>
        <v>96019.58</v>
      </c>
      <c r="Y332" s="310"/>
      <c r="Z332" s="310"/>
      <c r="AA332" s="5"/>
      <c r="AB332" s="314"/>
      <c r="AC332" s="318">
        <f>OBRA!BX331</f>
        <v>0</v>
      </c>
      <c r="AD332" s="353"/>
      <c r="AE332" s="353" t="s">
        <v>550</v>
      </c>
    </row>
    <row r="333" spans="1:31" ht="165.75" hidden="1" customHeight="1">
      <c r="A333" s="22" t="s">
        <v>2209</v>
      </c>
      <c r="B333" s="814" t="str">
        <f>'ADMININSTRACIÓN DIR - OBRA'!B334</f>
        <v>2015-2018</v>
      </c>
      <c r="C333" s="16">
        <f>OBRA!K332</f>
        <v>2018</v>
      </c>
      <c r="D333" s="1444"/>
      <c r="E333" s="17" t="str">
        <f>OBRA!N332</f>
        <v>RAMO 33</v>
      </c>
      <c r="F333" s="479" t="s">
        <v>1427</v>
      </c>
      <c r="G333" s="503" t="s">
        <v>3681</v>
      </c>
      <c r="H333" s="527" t="s">
        <v>3681</v>
      </c>
      <c r="I333" s="497" t="s">
        <v>3681</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3492</v>
      </c>
      <c r="P333" s="67">
        <f>OBRA!T332</f>
        <v>43105</v>
      </c>
      <c r="Q333" s="79">
        <f>OBRA!S332</f>
        <v>35653.230000000003</v>
      </c>
      <c r="R333" s="5">
        <f>OBRA!U332</f>
        <v>43108</v>
      </c>
      <c r="S333" s="11">
        <f>OBRA!V332</f>
        <v>43120</v>
      </c>
      <c r="T333" s="1381" t="s">
        <v>3819</v>
      </c>
      <c r="U333" s="62" t="s">
        <v>1427</v>
      </c>
      <c r="V333" s="500" t="s">
        <v>3681</v>
      </c>
      <c r="W333" s="589" t="s">
        <v>3681</v>
      </c>
      <c r="X333" s="1007">
        <f>OBRA!AS332</f>
        <v>7130.64</v>
      </c>
      <c r="Y333" s="310"/>
      <c r="Z333" s="310"/>
      <c r="AA333" s="5"/>
      <c r="AB333" s="314"/>
      <c r="AC333" s="318">
        <f>OBRA!BX332</f>
        <v>0</v>
      </c>
      <c r="AD333" s="353"/>
      <c r="AE333" s="353" t="s">
        <v>550</v>
      </c>
    </row>
    <row r="334" spans="1:31" ht="140.25" hidden="1" customHeight="1">
      <c r="A334" s="22" t="s">
        <v>2209</v>
      </c>
      <c r="B334" s="814" t="str">
        <f>'ADMININSTRACIÓN DIR - OBRA'!B335</f>
        <v>2015-2018</v>
      </c>
      <c r="C334" s="16">
        <f>OBRA!K333</f>
        <v>2018</v>
      </c>
      <c r="D334" s="1444"/>
      <c r="E334" s="17" t="str">
        <f>OBRA!N333</f>
        <v>RAMO 33</v>
      </c>
      <c r="F334" s="479" t="s">
        <v>1427</v>
      </c>
      <c r="G334" s="503" t="s">
        <v>3682</v>
      </c>
      <c r="H334" s="527" t="s">
        <v>3682</v>
      </c>
      <c r="I334" s="503" t="s">
        <v>3682</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3492</v>
      </c>
      <c r="P334" s="67">
        <f>OBRA!T333</f>
        <v>43258</v>
      </c>
      <c r="Q334" s="79">
        <f>OBRA!S333</f>
        <v>142196.43</v>
      </c>
      <c r="R334" s="5">
        <f>OBRA!U333</f>
        <v>43258</v>
      </c>
      <c r="S334" s="11">
        <f>OBRA!V333</f>
        <v>43287</v>
      </c>
      <c r="T334" s="1381" t="s">
        <v>3819</v>
      </c>
      <c r="U334" s="62" t="s">
        <v>1427</v>
      </c>
      <c r="V334" s="500" t="s">
        <v>3682</v>
      </c>
      <c r="W334" s="589" t="s">
        <v>3682</v>
      </c>
      <c r="X334" s="1007">
        <f>OBRA!AS333</f>
        <v>28439.279999999999</v>
      </c>
      <c r="Y334" s="310"/>
      <c r="Z334" s="310"/>
      <c r="AA334" s="5"/>
      <c r="AB334" s="314"/>
      <c r="AC334" s="318">
        <f>OBRA!BX333</f>
        <v>0</v>
      </c>
      <c r="AD334" s="353"/>
      <c r="AE334" s="353" t="s">
        <v>550</v>
      </c>
    </row>
    <row r="335" spans="1:31" ht="110.25" hidden="1" customHeight="1">
      <c r="A335" s="22" t="s">
        <v>2209</v>
      </c>
      <c r="B335" s="814" t="str">
        <f>'ADMININSTRACIÓN DIR - OBRA'!B336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3493</v>
      </c>
      <c r="P335" s="6">
        <f>OBRA!T334</f>
        <v>43258</v>
      </c>
      <c r="Q335" s="4">
        <f>OBRA!S334</f>
        <v>32872.07</v>
      </c>
      <c r="R335" s="5">
        <f>OBRA!U334</f>
        <v>43262</v>
      </c>
      <c r="S335" s="11">
        <f>OBRA!V334</f>
        <v>43267</v>
      </c>
      <c r="T335" s="1381" t="s">
        <v>3819</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'ADMININSTRACIÓN DIR - OBRA'!B337</f>
        <v>2015-2018</v>
      </c>
      <c r="C336" s="16">
        <f>OBRA!K335</f>
        <v>2018</v>
      </c>
      <c r="D336" s="1444"/>
      <c r="E336" s="17" t="str">
        <f>OBRA!N335</f>
        <v>CUENTA CORRIENTE</v>
      </c>
      <c r="F336" s="479" t="s">
        <v>1427</v>
      </c>
      <c r="G336" s="163"/>
      <c r="H336" s="527" t="s">
        <v>3683</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3493</v>
      </c>
      <c r="P336" s="6">
        <f>OBRA!T335</f>
        <v>43274</v>
      </c>
      <c r="Q336" s="4">
        <f>OBRA!S335</f>
        <v>243028.37</v>
      </c>
      <c r="R336" s="5">
        <f>OBRA!U335</f>
        <v>43274</v>
      </c>
      <c r="S336" s="11">
        <f>OBRA!V335</f>
        <v>43304</v>
      </c>
      <c r="T336" s="208" t="s">
        <v>3818</v>
      </c>
      <c r="U336" s="378" t="s">
        <v>1427</v>
      </c>
      <c r="V336" s="538"/>
      <c r="W336" s="589" t="s">
        <v>3683</v>
      </c>
      <c r="X336" s="1007">
        <f>OBRA!AS335</f>
        <v>48605.66</v>
      </c>
      <c r="Y336" s="310"/>
      <c r="Z336" s="310"/>
      <c r="AA336" s="5"/>
      <c r="AB336" s="314"/>
      <c r="AC336" s="318">
        <f>OBRA!BX335</f>
        <v>0</v>
      </c>
      <c r="AD336" s="353"/>
      <c r="AE336" s="353"/>
    </row>
    <row r="337" spans="1:31" ht="198.75" hidden="1" customHeight="1">
      <c r="A337" s="22" t="s">
        <v>2209</v>
      </c>
      <c r="B337" s="814" t="str">
        <f>'ADMININSTRACIÓN DIR - OBRA'!B338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3493</v>
      </c>
      <c r="P337" s="6">
        <f>OBRA!T336</f>
        <v>43300</v>
      </c>
      <c r="Q337" s="4">
        <f>OBRA!S336</f>
        <v>1099823.45</v>
      </c>
      <c r="R337" s="5">
        <f>OBRA!U336</f>
        <v>43300</v>
      </c>
      <c r="S337" s="11">
        <f>OBRA!V336</f>
        <v>43364</v>
      </c>
      <c r="T337" s="208" t="s">
        <v>3818</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'ADMININSTRACIÓN DIR - OBRA'!B339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'ADMININSTRACIÓN DIR - OBRA'!B340</f>
        <v>2015-2018</v>
      </c>
      <c r="C339" s="16">
        <f>OBRA!K338</f>
        <v>2018</v>
      </c>
      <c r="D339" s="1444"/>
      <c r="E339" s="17" t="str">
        <f>OBRA!N338</f>
        <v>RAMO 33</v>
      </c>
      <c r="F339" s="479" t="s">
        <v>1427</v>
      </c>
      <c r="G339" s="503" t="s">
        <v>3684</v>
      </c>
      <c r="H339" s="527" t="s">
        <v>3684</v>
      </c>
      <c r="I339" s="503" t="s">
        <v>3684</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3493</v>
      </c>
      <c r="P339" s="67">
        <f>OBRA!T338</f>
        <v>43326</v>
      </c>
      <c r="Q339" s="79">
        <f>OBRA!S338</f>
        <v>452456.16</v>
      </c>
      <c r="R339" s="5">
        <f>OBRA!U338</f>
        <v>43326</v>
      </c>
      <c r="S339" s="11">
        <f>OBRA!V338</f>
        <v>43357</v>
      </c>
      <c r="T339" s="1381" t="s">
        <v>3819</v>
      </c>
      <c r="U339" s="62" t="s">
        <v>1427</v>
      </c>
      <c r="V339" s="467" t="s">
        <v>3684</v>
      </c>
      <c r="W339" s="1319" t="s">
        <v>3684</v>
      </c>
      <c r="X339" s="1007">
        <f>OBRA!AS338</f>
        <v>90491.24</v>
      </c>
      <c r="Y339" s="310"/>
      <c r="Z339" s="310"/>
      <c r="AA339" s="5"/>
      <c r="AB339" s="314"/>
      <c r="AC339" s="318">
        <f>OBRA!BX338</f>
        <v>0</v>
      </c>
      <c r="AD339" s="353"/>
      <c r="AE339" s="353" t="s">
        <v>550</v>
      </c>
    </row>
    <row r="340" spans="1:31" ht="82.5" hidden="1" customHeight="1">
      <c r="A340" s="22" t="s">
        <v>2209</v>
      </c>
      <c r="B340" s="814" t="str">
        <f>'ADMININSTRACIÓN DIR - OBRA'!B341</f>
        <v>2015-2018</v>
      </c>
      <c r="C340" s="16">
        <f>OBRA!K339</f>
        <v>2018</v>
      </c>
      <c r="D340" s="1444"/>
      <c r="E340" s="17" t="str">
        <f>OBRA!N339</f>
        <v>RAMO 33</v>
      </c>
      <c r="F340" s="479" t="s">
        <v>1427</v>
      </c>
      <c r="G340" s="503" t="s">
        <v>3685</v>
      </c>
      <c r="H340" s="527" t="s">
        <v>3685</v>
      </c>
      <c r="I340" s="503" t="s">
        <v>3685</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3493</v>
      </c>
      <c r="P340" s="67">
        <f>OBRA!T339</f>
        <v>43326</v>
      </c>
      <c r="Q340" s="79">
        <f>OBRA!S339</f>
        <v>412725.64</v>
      </c>
      <c r="R340" s="5">
        <f>OBRA!U339</f>
        <v>43326</v>
      </c>
      <c r="S340" s="11">
        <f>OBRA!V339</f>
        <v>43357</v>
      </c>
      <c r="T340" s="1381" t="s">
        <v>3819</v>
      </c>
      <c r="U340" s="62" t="s">
        <v>1427</v>
      </c>
      <c r="V340" s="467" t="s">
        <v>3685</v>
      </c>
      <c r="W340" s="1319" t="s">
        <v>3685</v>
      </c>
      <c r="X340" s="1007">
        <f>OBRA!AS339</f>
        <v>41242.559999999998</v>
      </c>
      <c r="Y340" s="310"/>
      <c r="Z340" s="310"/>
      <c r="AA340" s="5"/>
      <c r="AB340" s="314"/>
      <c r="AC340" s="318">
        <f>OBRA!BX339</f>
        <v>0</v>
      </c>
      <c r="AD340" s="353"/>
      <c r="AE340" s="353" t="s">
        <v>550</v>
      </c>
    </row>
    <row r="341" spans="1:31" ht="144" hidden="1" customHeight="1">
      <c r="A341" s="22" t="s">
        <v>2209</v>
      </c>
      <c r="B341" s="814" t="str">
        <f>'ADMININSTRACIÓN DIR - OBRA'!B342</f>
        <v>2015-2018</v>
      </c>
      <c r="C341" s="16">
        <f>OBRA!K340</f>
        <v>2018</v>
      </c>
      <c r="D341" s="1444"/>
      <c r="E341" s="17" t="str">
        <f>OBRA!N340</f>
        <v>RAMO 33</v>
      </c>
      <c r="F341" s="479" t="s">
        <v>1427</v>
      </c>
      <c r="G341" s="503" t="s">
        <v>3686</v>
      </c>
      <c r="H341" s="527" t="s">
        <v>3686</v>
      </c>
      <c r="I341" s="503" t="s">
        <v>3686</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3493</v>
      </c>
      <c r="P341" s="67">
        <f>OBRA!T340</f>
        <v>43326</v>
      </c>
      <c r="Q341" s="79">
        <f>OBRA!S340</f>
        <v>732027.5</v>
      </c>
      <c r="R341" s="5">
        <f>OBRA!U340</f>
        <v>43326</v>
      </c>
      <c r="S341" s="11">
        <f>OBRA!V340</f>
        <v>43348</v>
      </c>
      <c r="T341" s="1381" t="s">
        <v>3819</v>
      </c>
      <c r="U341" s="62" t="s">
        <v>1427</v>
      </c>
      <c r="V341" s="467" t="s">
        <v>3686</v>
      </c>
      <c r="W341" s="692" t="s">
        <v>3686</v>
      </c>
      <c r="X341" s="1007">
        <f>OBRA!AS340</f>
        <v>327920.73</v>
      </c>
      <c r="Y341" s="310"/>
      <c r="Z341" s="310"/>
      <c r="AA341" s="5"/>
      <c r="AB341" s="314"/>
      <c r="AC341" s="318">
        <f>OBRA!BX340</f>
        <v>0</v>
      </c>
      <c r="AD341" s="353"/>
      <c r="AE341" s="353" t="s">
        <v>550</v>
      </c>
    </row>
    <row r="342" spans="1:31" ht="105.75" hidden="1" customHeight="1">
      <c r="A342" s="22" t="s">
        <v>2209</v>
      </c>
      <c r="B342" s="814" t="str">
        <f>'ADMININSTRACIÓN DIR - OBRA'!B343</f>
        <v>2015-2018</v>
      </c>
      <c r="C342" s="16">
        <f>OBRA!K341</f>
        <v>2018</v>
      </c>
      <c r="D342" s="1444"/>
      <c r="E342" s="17" t="str">
        <f>OBRA!N341</f>
        <v>RAMO 33</v>
      </c>
      <c r="F342" s="479" t="s">
        <v>1427</v>
      </c>
      <c r="G342" s="503" t="s">
        <v>3687</v>
      </c>
      <c r="H342" s="527" t="s">
        <v>3687</v>
      </c>
      <c r="I342" s="503" t="s">
        <v>3687</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3493</v>
      </c>
      <c r="P342" s="67">
        <f>OBRA!T341</f>
        <v>43326</v>
      </c>
      <c r="Q342" s="79">
        <f>OBRA!S341</f>
        <v>87399.62</v>
      </c>
      <c r="R342" s="5">
        <f>OBRA!U341</f>
        <v>43333</v>
      </c>
      <c r="S342" s="11">
        <f>OBRA!V341</f>
        <v>43358</v>
      </c>
      <c r="T342" s="1381" t="s">
        <v>3819</v>
      </c>
      <c r="U342" s="62" t="s">
        <v>1427</v>
      </c>
      <c r="V342" s="503" t="s">
        <v>3687</v>
      </c>
      <c r="W342" s="606" t="s">
        <v>3687</v>
      </c>
      <c r="X342" s="1007">
        <f>OBRA!AS341</f>
        <v>17479.919999999998</v>
      </c>
      <c r="Y342" s="310"/>
      <c r="Z342" s="310"/>
      <c r="AA342" s="5"/>
      <c r="AB342" s="314"/>
      <c r="AC342" s="318">
        <f>OBRA!BX341</f>
        <v>0</v>
      </c>
      <c r="AD342" s="353"/>
      <c r="AE342" s="353" t="s">
        <v>550</v>
      </c>
    </row>
    <row r="343" spans="1:31" ht="162.75" hidden="1" customHeight="1">
      <c r="A343" s="22" t="s">
        <v>2209</v>
      </c>
      <c r="B343" s="814" t="str">
        <f>'ADMININSTRACIÓN DIR - OBRA'!B344</f>
        <v>2015-2018</v>
      </c>
      <c r="C343" s="16">
        <f>OBRA!K342</f>
        <v>2018</v>
      </c>
      <c r="D343" s="1444"/>
      <c r="E343" s="17" t="str">
        <f>OBRA!N342</f>
        <v>RAMO 33</v>
      </c>
      <c r="F343" s="479" t="s">
        <v>1427</v>
      </c>
      <c r="G343" s="503" t="s">
        <v>3688</v>
      </c>
      <c r="H343" s="527" t="s">
        <v>3688</v>
      </c>
      <c r="I343" s="503" t="s">
        <v>3688</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3493</v>
      </c>
      <c r="P343" s="67">
        <f>OBRA!T342</f>
        <v>43346</v>
      </c>
      <c r="Q343" s="79">
        <f>OBRA!S342</f>
        <v>458709.95</v>
      </c>
      <c r="R343" s="5">
        <f>OBRA!U342</f>
        <v>43349</v>
      </c>
      <c r="S343" s="11">
        <f>OBRA!V342</f>
        <v>43367</v>
      </c>
      <c r="T343" s="1381" t="s">
        <v>3819</v>
      </c>
      <c r="U343" s="62" t="s">
        <v>1427</v>
      </c>
      <c r="V343" s="467" t="s">
        <v>3688</v>
      </c>
      <c r="W343" s="692" t="s">
        <v>3688</v>
      </c>
      <c r="X343" s="1007">
        <f>OBRA!AS342</f>
        <v>207461.57</v>
      </c>
      <c r="Y343" s="310"/>
      <c r="Z343" s="310"/>
      <c r="AA343" s="5"/>
      <c r="AB343" s="314"/>
      <c r="AC343" s="318">
        <f>OBRA!BX342</f>
        <v>0</v>
      </c>
      <c r="AD343" s="353"/>
      <c r="AE343" s="353" t="s">
        <v>550</v>
      </c>
    </row>
    <row r="344" spans="1:31" ht="151.5" hidden="1" customHeight="1">
      <c r="A344" s="22" t="s">
        <v>2209</v>
      </c>
      <c r="B344" s="814" t="str">
        <f>'ADMININSTRACIÓN DIR - OBRA'!B345</f>
        <v>2015-2018</v>
      </c>
      <c r="C344" s="16">
        <f>OBRA!K343</f>
        <v>2018</v>
      </c>
      <c r="D344" s="1444"/>
      <c r="E344" s="17" t="str">
        <f>OBRA!N343</f>
        <v>RAMO 33</v>
      </c>
      <c r="F344" s="479" t="s">
        <v>1427</v>
      </c>
      <c r="G344" s="503" t="s">
        <v>3689</v>
      </c>
      <c r="H344" s="527" t="s">
        <v>3689</v>
      </c>
      <c r="I344" s="503" t="s">
        <v>3689</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3493</v>
      </c>
      <c r="P344" s="67">
        <f>OBRA!T343</f>
        <v>43326</v>
      </c>
      <c r="Q344" s="79">
        <f>OBRA!S343</f>
        <v>615855.56999999995</v>
      </c>
      <c r="R344" s="5">
        <f>OBRA!U343</f>
        <v>43326</v>
      </c>
      <c r="S344" s="11">
        <f>OBRA!V343</f>
        <v>43348</v>
      </c>
      <c r="T344" s="1381" t="s">
        <v>3819</v>
      </c>
      <c r="U344" s="62" t="s">
        <v>1427</v>
      </c>
      <c r="V344" s="467" t="s">
        <v>3689</v>
      </c>
      <c r="W344" s="1319" t="s">
        <v>3689</v>
      </c>
      <c r="X344" s="1007">
        <f>OBRA!AS343</f>
        <v>277684.53000000003</v>
      </c>
      <c r="Y344" s="310"/>
      <c r="Z344" s="310"/>
      <c r="AA344" s="5"/>
      <c r="AB344" s="314"/>
      <c r="AC344" s="318">
        <f>OBRA!BX343</f>
        <v>0</v>
      </c>
      <c r="AD344" s="353"/>
      <c r="AE344" s="353" t="s">
        <v>550</v>
      </c>
    </row>
    <row r="345" spans="1:31" ht="153.75" hidden="1" customHeight="1">
      <c r="A345" s="22" t="s">
        <v>2209</v>
      </c>
      <c r="B345" s="814" t="str">
        <f>'ADMININSTRACIÓN DIR - OBRA'!B346</f>
        <v>2015-2018</v>
      </c>
      <c r="C345" s="16">
        <f>OBRA!K344</f>
        <v>2018</v>
      </c>
      <c r="D345" s="1444"/>
      <c r="E345" s="17" t="str">
        <f>OBRA!N344</f>
        <v>RAMO 33</v>
      </c>
      <c r="F345" s="479" t="s">
        <v>1427</v>
      </c>
      <c r="G345" s="503" t="s">
        <v>3690</v>
      </c>
      <c r="H345" s="527" t="s">
        <v>3690</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3493</v>
      </c>
      <c r="P345" s="6">
        <f>OBRA!T344</f>
        <v>43320</v>
      </c>
      <c r="Q345" s="4">
        <f>OBRA!S344</f>
        <v>413195.74</v>
      </c>
      <c r="R345" s="5">
        <f>OBRA!U344</f>
        <v>43322</v>
      </c>
      <c r="S345" s="11">
        <f>OBRA!V344</f>
        <v>43341</v>
      </c>
      <c r="T345" s="1381" t="s">
        <v>3819</v>
      </c>
      <c r="U345" s="378" t="s">
        <v>1427</v>
      </c>
      <c r="V345" s="467" t="s">
        <v>3690</v>
      </c>
      <c r="W345" s="692" t="s">
        <v>3690</v>
      </c>
      <c r="X345" s="1007">
        <f>OBRA!AS344</f>
        <v>82552.760000000009</v>
      </c>
      <c r="Y345" s="310"/>
      <c r="Z345" s="310"/>
      <c r="AA345" s="5"/>
      <c r="AB345" s="314"/>
      <c r="AC345" s="318">
        <f>OBRA!BX344</f>
        <v>0</v>
      </c>
      <c r="AD345" s="353"/>
      <c r="AE345" s="353"/>
    </row>
    <row r="346" spans="1:31" ht="120" hidden="1" customHeight="1">
      <c r="A346" s="22" t="s">
        <v>2209</v>
      </c>
      <c r="B346" s="814" t="str">
        <f>'ADMININSTRACIÓN DIR - OBRA'!B347</f>
        <v>2015-2018</v>
      </c>
      <c r="C346" s="16">
        <f>OBRA!K345</f>
        <v>2018</v>
      </c>
      <c r="D346" s="1444"/>
      <c r="E346" s="17" t="str">
        <f>OBRA!N345</f>
        <v>RAMO 33</v>
      </c>
      <c r="F346" s="479" t="s">
        <v>1427</v>
      </c>
      <c r="G346" s="163"/>
      <c r="H346" s="527" t="s">
        <v>3691</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3493</v>
      </c>
      <c r="P346" s="6">
        <f>OBRA!T345</f>
        <v>43329</v>
      </c>
      <c r="Q346" s="4">
        <f>OBRA!S345</f>
        <v>229200</v>
      </c>
      <c r="R346" s="5">
        <f>OBRA!U345</f>
        <v>43332</v>
      </c>
      <c r="S346" s="11">
        <f>OBRA!V345</f>
        <v>43353</v>
      </c>
      <c r="T346" s="1381" t="s">
        <v>3819</v>
      </c>
      <c r="U346" s="378" t="s">
        <v>1427</v>
      </c>
      <c r="V346" s="467" t="s">
        <v>3691</v>
      </c>
      <c r="W346" s="692" t="s">
        <v>3691</v>
      </c>
      <c r="X346" s="1006">
        <f>OBRA!AS345</f>
        <v>57300</v>
      </c>
      <c r="Y346" s="310"/>
      <c r="Z346" s="310"/>
      <c r="AA346" s="5"/>
      <c r="AB346" s="314"/>
      <c r="AC346" s="318">
        <f>OBRA!BX345</f>
        <v>0</v>
      </c>
      <c r="AD346" s="353"/>
      <c r="AE346" s="353"/>
    </row>
    <row r="347" spans="1:31" ht="15" hidden="1" customHeight="1">
      <c r="A347" s="22" t="s">
        <v>2209</v>
      </c>
      <c r="B347" s="814" t="str">
        <f>'ADMININSTRACIÓN DIR - OBRA'!B348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'ADMININSTRACIÓN DIR - OBRA'!B349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'ADMININSTRACIÓN DIR - OBRA'!B350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'ADMININSTRACIÓN DIR - OBRA'!B351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'ADMININSTRACIÓN DIR - OBRA'!B352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'ADMININSTRACIÓN DIR - OBRA'!B353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'ADMININSTRACIÓN DIR - OBRA'!B354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'ADMININSTRACIÓN DIR - OBRA'!B355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'ADMININSTRACIÓN DIR - OBRA'!B356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53"/>
      <c r="AC355" s="468" t="str">
        <f>OBRA!BX354</f>
        <v>-</v>
      </c>
      <c r="AD355" s="355"/>
      <c r="AE355" s="355"/>
    </row>
    <row r="356" spans="1:31" s="104" customFormat="1" ht="15" hidden="1" customHeight="1">
      <c r="A356" s="81" t="s">
        <v>2209</v>
      </c>
      <c r="B356" s="825" t="str">
        <f>'ADMININSTRACIÓN DIR - OBRA'!B357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53"/>
      <c r="AC356" s="468" t="str">
        <f>OBRA!BX355</f>
        <v>-</v>
      </c>
      <c r="AD356" s="355"/>
      <c r="AE356" s="355"/>
    </row>
    <row r="357" spans="1:31" ht="15" hidden="1" customHeight="1">
      <c r="A357" s="22" t="s">
        <v>2209</v>
      </c>
      <c r="B357" s="814" t="str">
        <f>'ADMININSTRACIÓN DIR - OBRA'!B358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'ADMININSTRACIÓN DIR - OBRA'!B359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'ADMININSTRACIÓN DIR - OBRA'!B360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'ADMININSTRACIÓN DIR - OBRA'!B361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'ADMININSTRACIÓN DIR - OBRA'!B362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'ADMININSTRACIÓN DIR - OBRA'!B363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'ADMININSTRACIÓN DIR - OBRA'!B364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'ADMININSTRACIÓN DIR - OBRA'!B365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'ADMININSTRACIÓN DIR - OBRA'!B366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'ADMININSTRACIÓN DIR - OBRA'!B367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'ADMININSTRACIÓN DIR - OBRA'!B368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'ADMININSTRACIÓN DIR - OBRA'!B369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'ADMININSTRACIÓN DIR - OBRA'!B370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53"/>
      <c r="AC369" s="468">
        <f>OBRA!BX368</f>
        <v>0</v>
      </c>
      <c r="AD369" s="355"/>
      <c r="AE369" s="355"/>
    </row>
    <row r="370" spans="1:31" ht="15" hidden="1" customHeight="1">
      <c r="A370" s="22" t="s">
        <v>2209</v>
      </c>
      <c r="B370" s="814" t="str">
        <f>'ADMININSTRACIÓN DIR - OBRA'!B371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'ADMININSTRACIÓN DIR - OBRA'!B372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'ADMININSTRACIÓN DIR - OBRA'!B373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53"/>
      <c r="AC372" s="468">
        <f>OBRA!BX371</f>
        <v>0</v>
      </c>
      <c r="AD372" s="355"/>
      <c r="AE372" s="355"/>
    </row>
    <row r="373" spans="1:31" ht="15" hidden="1" customHeight="1">
      <c r="A373" s="22" t="s">
        <v>2209</v>
      </c>
      <c r="B373" s="814" t="str">
        <f>'ADMININSTRACIÓN DIR - OBRA'!B374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'ADMININSTRACIÓN DIR - OBRA'!B375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'ADMININSTRACIÓN DIR - OBRA'!B376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'ADMININSTRACIÓN DIR - OBRA'!B377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'ADMININSTRACIÓN DIR - OBRA'!B378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'ADMININSTRACIÓN DIR - OBRA'!B379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'ADMININSTRACIÓN DIR - OBRA'!B380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3496</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'ADMININSTRACIÓN DIR - OBRA'!B381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3496</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'ADMININSTRACIÓN DIR - OBRA'!B382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3496</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'ADMININSTRACIÓN DIR - OBRA'!B383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'ADMININSTRACIÓN DIR - OBRA'!B384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3495</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'ADMININSTRACIÓN DIR - OBRA'!B385</f>
        <v>2018-2021</v>
      </c>
      <c r="C384" s="16">
        <f>OBRA!K383</f>
        <v>2019</v>
      </c>
      <c r="D384" s="1444"/>
      <c r="E384" s="17" t="str">
        <f>OBRA!N383</f>
        <v>RAMO 33</v>
      </c>
      <c r="F384" s="479" t="s">
        <v>1427</v>
      </c>
      <c r="G384" s="467" t="s">
        <v>3696</v>
      </c>
      <c r="H384" s="527" t="s">
        <v>3696</v>
      </c>
      <c r="I384" s="692" t="s">
        <v>3696</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3497</v>
      </c>
      <c r="P384" s="67">
        <f>OBRA!T383</f>
        <v>43529</v>
      </c>
      <c r="Q384" s="79">
        <f>OBRA!S383</f>
        <v>731445.69</v>
      </c>
      <c r="R384" s="5">
        <f>OBRA!U383</f>
        <v>43530</v>
      </c>
      <c r="S384" s="11">
        <f>OBRA!V383</f>
        <v>43616</v>
      </c>
      <c r="T384" s="1381" t="s">
        <v>3819</v>
      </c>
      <c r="U384" s="62" t="s">
        <v>1427</v>
      </c>
      <c r="V384" s="467" t="s">
        <v>3696</v>
      </c>
      <c r="W384" s="692" t="s">
        <v>3696</v>
      </c>
      <c r="X384" s="1005">
        <f>OBRA!AS383</f>
        <v>146289.12</v>
      </c>
      <c r="Y384" s="310"/>
      <c r="Z384" s="310"/>
      <c r="AA384" s="5"/>
      <c r="AB384" s="314"/>
      <c r="AC384" s="318">
        <f>OBRA!BX383</f>
        <v>0</v>
      </c>
      <c r="AD384" s="1"/>
      <c r="AE384" s="353" t="s">
        <v>550</v>
      </c>
    </row>
    <row r="385" spans="1:31" ht="98.25" hidden="1" customHeight="1">
      <c r="A385" s="22" t="s">
        <v>2209</v>
      </c>
      <c r="B385" s="814" t="str">
        <f>'ADMININSTRACIÓN DIR - OBRA'!B386</f>
        <v>2018-2021</v>
      </c>
      <c r="C385" s="16">
        <f>OBRA!K384</f>
        <v>2019</v>
      </c>
      <c r="D385" s="1444"/>
      <c r="E385" s="17" t="str">
        <f>OBRA!N384</f>
        <v>CUENTA CORRIENTE</v>
      </c>
      <c r="F385" s="479" t="s">
        <v>1427</v>
      </c>
      <c r="G385" s="467" t="s">
        <v>3697</v>
      </c>
      <c r="H385" s="527" t="s">
        <v>3697</v>
      </c>
      <c r="I385" s="692" t="s">
        <v>3697</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3497</v>
      </c>
      <c r="P385" s="67">
        <f>OBRA!T384</f>
        <v>43592</v>
      </c>
      <c r="Q385" s="79">
        <f>OBRA!S384</f>
        <v>140710.85999999999</v>
      </c>
      <c r="R385" s="5">
        <f>OBRA!U384</f>
        <v>43593</v>
      </c>
      <c r="S385" s="11">
        <f>OBRA!V384</f>
        <v>43624</v>
      </c>
      <c r="T385" s="208" t="s">
        <v>3818</v>
      </c>
      <c r="U385" s="62" t="s">
        <v>1427</v>
      </c>
      <c r="V385" s="467" t="s">
        <v>3697</v>
      </c>
      <c r="W385" s="692" t="s">
        <v>3697</v>
      </c>
      <c r="X385" s="1005">
        <f>OBRA!AS384</f>
        <v>118142.16</v>
      </c>
      <c r="Y385" s="310"/>
      <c r="Z385" s="310"/>
      <c r="AA385" s="5"/>
      <c r="AB385" s="314"/>
      <c r="AC385" s="318">
        <f>OBRA!BX384</f>
        <v>0</v>
      </c>
      <c r="AD385" s="1"/>
      <c r="AE385" s="353" t="s">
        <v>550</v>
      </c>
    </row>
    <row r="386" spans="1:31" ht="99.95" hidden="1" customHeight="1">
      <c r="A386" s="22" t="s">
        <v>2209</v>
      </c>
      <c r="B386" s="814" t="str">
        <f>'ADMININSTRACIÓN DIR - OBRA'!B387</f>
        <v>2018-2021</v>
      </c>
      <c r="C386" s="16">
        <f>OBRA!K385</f>
        <v>2019</v>
      </c>
      <c r="D386" s="1444"/>
      <c r="E386" s="17" t="str">
        <f>OBRA!N385</f>
        <v>RAMO 33</v>
      </c>
      <c r="F386" s="479" t="s">
        <v>1427</v>
      </c>
      <c r="G386" s="467" t="s">
        <v>3698</v>
      </c>
      <c r="H386" s="527" t="s">
        <v>3698</v>
      </c>
      <c r="I386" s="692" t="s">
        <v>3698</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3497</v>
      </c>
      <c r="P386" s="67">
        <f>OBRA!T385</f>
        <v>43609</v>
      </c>
      <c r="Q386" s="79">
        <f>OBRA!S385</f>
        <v>400650.13</v>
      </c>
      <c r="R386" s="5">
        <f>OBRA!U385</f>
        <v>43612</v>
      </c>
      <c r="S386" s="11">
        <f>OBRA!V385</f>
        <v>43629</v>
      </c>
      <c r="T386" s="1381" t="s">
        <v>3819</v>
      </c>
      <c r="U386" s="62" t="s">
        <v>1427</v>
      </c>
      <c r="V386" s="467" t="s">
        <v>3698</v>
      </c>
      <c r="W386" s="692" t="s">
        <v>3698</v>
      </c>
      <c r="X386" s="1005">
        <f>OBRA!AS385</f>
        <v>80130.02</v>
      </c>
      <c r="Y386" s="310"/>
      <c r="Z386" s="310"/>
      <c r="AA386" s="5"/>
      <c r="AB386" s="314"/>
      <c r="AC386" s="318">
        <f>OBRA!BX385</f>
        <v>0</v>
      </c>
      <c r="AD386" s="353"/>
      <c r="AE386" s="353" t="s">
        <v>550</v>
      </c>
    </row>
    <row r="387" spans="1:31" ht="99.95" hidden="1" customHeight="1">
      <c r="A387" s="22" t="s">
        <v>2209</v>
      </c>
      <c r="B387" s="814" t="str">
        <f>'ADMININSTRACIÓN DIR - OBRA'!B388</f>
        <v>2018-2021</v>
      </c>
      <c r="C387" s="16">
        <f>OBRA!K386</f>
        <v>2019</v>
      </c>
      <c r="D387" s="1444"/>
      <c r="E387" s="17" t="str">
        <f>OBRA!N386</f>
        <v>RAMO 33</v>
      </c>
      <c r="F387" s="479" t="s">
        <v>1427</v>
      </c>
      <c r="G387" s="467" t="s">
        <v>3699</v>
      </c>
      <c r="H387" s="527" t="s">
        <v>3699</v>
      </c>
      <c r="I387" s="692" t="s">
        <v>3699</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3497</v>
      </c>
      <c r="P387" s="67">
        <f>OBRA!T386</f>
        <v>43609</v>
      </c>
      <c r="Q387" s="79">
        <f>OBRA!S386</f>
        <v>149018.54</v>
      </c>
      <c r="R387" s="5">
        <f>OBRA!U386</f>
        <v>43612</v>
      </c>
      <c r="S387" s="11">
        <f>OBRA!V386</f>
        <v>43626</v>
      </c>
      <c r="T387" s="1381" t="s">
        <v>3819</v>
      </c>
      <c r="U387" s="62" t="s">
        <v>1427</v>
      </c>
      <c r="V387" s="467" t="s">
        <v>3699</v>
      </c>
      <c r="W387" s="692" t="s">
        <v>3699</v>
      </c>
      <c r="X387" s="1005">
        <f>OBRA!AS386</f>
        <v>29803.7</v>
      </c>
      <c r="Y387" s="310"/>
      <c r="Z387" s="310"/>
      <c r="AA387" s="5"/>
      <c r="AB387" s="314"/>
      <c r="AC387" s="318">
        <f>OBRA!BX386</f>
        <v>0</v>
      </c>
      <c r="AD387" s="1"/>
      <c r="AE387" s="353" t="s">
        <v>550</v>
      </c>
    </row>
    <row r="388" spans="1:31" ht="143.25" hidden="1" customHeight="1">
      <c r="A388" s="22" t="s">
        <v>2209</v>
      </c>
      <c r="B388" s="814" t="str">
        <f>'ADMININSTRACIÓN DIR - OBRA'!B389</f>
        <v>2018-2021</v>
      </c>
      <c r="C388" s="16">
        <f>OBRA!K387</f>
        <v>2019</v>
      </c>
      <c r="D388" s="1444"/>
      <c r="E388" s="17" t="str">
        <f>OBRA!N387</f>
        <v>RAMO 33</v>
      </c>
      <c r="F388" s="479" t="s">
        <v>1427</v>
      </c>
      <c r="G388" s="467" t="s">
        <v>3700</v>
      </c>
      <c r="H388" s="527" t="s">
        <v>3700</v>
      </c>
      <c r="I388" s="692" t="s">
        <v>3700</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3497</v>
      </c>
      <c r="P388" s="67">
        <f>OBRA!T387</f>
        <v>43606</v>
      </c>
      <c r="Q388" s="79">
        <f>OBRA!S387</f>
        <v>603785.16</v>
      </c>
      <c r="R388" s="5">
        <f>OBRA!U387</f>
        <v>43608</v>
      </c>
      <c r="S388" s="11">
        <f>OBRA!V387</f>
        <v>43677</v>
      </c>
      <c r="T388" s="1381" t="s">
        <v>3819</v>
      </c>
      <c r="U388" s="62" t="s">
        <v>1427</v>
      </c>
      <c r="V388" s="500" t="s">
        <v>3700</v>
      </c>
      <c r="W388" s="589" t="s">
        <v>3700</v>
      </c>
      <c r="X388" s="1007">
        <f>OBRA!AS387</f>
        <v>271444.19</v>
      </c>
      <c r="Y388" s="310"/>
      <c r="Z388" s="310"/>
      <c r="AA388" s="5"/>
      <c r="AB388" s="314"/>
      <c r="AC388" s="318">
        <f>OBRA!BX387</f>
        <v>0</v>
      </c>
      <c r="AD388" s="1"/>
      <c r="AE388" s="353" t="s">
        <v>550</v>
      </c>
    </row>
    <row r="389" spans="1:31" ht="144.75" hidden="1" customHeight="1">
      <c r="A389" s="22" t="s">
        <v>2209</v>
      </c>
      <c r="B389" s="814" t="str">
        <f>'ADMININSTRACIÓN DIR - OBRA'!B390</f>
        <v>2018-2021</v>
      </c>
      <c r="C389" s="16">
        <f>OBRA!K388</f>
        <v>2019</v>
      </c>
      <c r="D389" s="1444"/>
      <c r="E389" s="17" t="str">
        <f>OBRA!N388</f>
        <v>RAMO 33</v>
      </c>
      <c r="F389" s="479" t="s">
        <v>1427</v>
      </c>
      <c r="G389" s="467" t="s">
        <v>3701</v>
      </c>
      <c r="H389" s="527" t="s">
        <v>3701</v>
      </c>
      <c r="I389" s="692" t="s">
        <v>3701</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3497</v>
      </c>
      <c r="P389" s="67">
        <f>OBRA!T388</f>
        <v>43606</v>
      </c>
      <c r="Q389" s="79">
        <f>OBRA!S388</f>
        <v>619003.23</v>
      </c>
      <c r="R389" s="5">
        <f>OBRA!U388</f>
        <v>43608</v>
      </c>
      <c r="S389" s="11">
        <f>OBRA!V388</f>
        <v>43677</v>
      </c>
      <c r="T389" s="1381" t="s">
        <v>3819</v>
      </c>
      <c r="U389" s="62" t="s">
        <v>1427</v>
      </c>
      <c r="V389" s="500" t="s">
        <v>3701</v>
      </c>
      <c r="W389" s="589" t="s">
        <v>3701</v>
      </c>
      <c r="X389" s="1007">
        <f>OBRA!AS388</f>
        <v>278285.78000000003</v>
      </c>
      <c r="Y389" s="310"/>
      <c r="Z389" s="310"/>
      <c r="AA389" s="5"/>
      <c r="AB389" s="314"/>
      <c r="AC389" s="318">
        <f>OBRA!BX388</f>
        <v>0</v>
      </c>
      <c r="AD389" s="1"/>
      <c r="AE389" s="353" t="s">
        <v>550</v>
      </c>
    </row>
    <row r="390" spans="1:31" ht="113.25" hidden="1" customHeight="1">
      <c r="A390" s="22" t="s">
        <v>2209</v>
      </c>
      <c r="B390" s="814" t="str">
        <f>'ADMININSTRACIÓN DIR - OBRA'!B391</f>
        <v>2018-2021</v>
      </c>
      <c r="C390" s="16">
        <f>OBRA!K389</f>
        <v>2019</v>
      </c>
      <c r="D390" s="1444"/>
      <c r="E390" s="17" t="str">
        <f>OBRA!N389</f>
        <v>RAMO 33</v>
      </c>
      <c r="F390" s="479" t="s">
        <v>1427</v>
      </c>
      <c r="G390" s="467" t="s">
        <v>3702</v>
      </c>
      <c r="H390" s="527" t="s">
        <v>3702</v>
      </c>
      <c r="I390" s="692" t="s">
        <v>3702</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3497</v>
      </c>
      <c r="P390" s="67">
        <f>OBRA!T389</f>
        <v>43606</v>
      </c>
      <c r="Q390" s="79">
        <f>OBRA!S389</f>
        <v>949742.46</v>
      </c>
      <c r="R390" s="5">
        <f>OBRA!U389</f>
        <v>43612</v>
      </c>
      <c r="S390" s="11">
        <f>OBRA!V389</f>
        <v>43643</v>
      </c>
      <c r="T390" s="1381" t="s">
        <v>3819</v>
      </c>
      <c r="U390" s="62" t="s">
        <v>1427</v>
      </c>
      <c r="V390" s="467" t="s">
        <v>3702</v>
      </c>
      <c r="W390" s="692" t="s">
        <v>3702</v>
      </c>
      <c r="X390" s="1005">
        <f>OBRA!AS389</f>
        <v>427384.1</v>
      </c>
      <c r="Y390" s="310"/>
      <c r="Z390" s="310"/>
      <c r="AA390" s="5"/>
      <c r="AB390" s="314"/>
      <c r="AC390" s="318">
        <f>OBRA!BX389</f>
        <v>0</v>
      </c>
      <c r="AD390" s="353"/>
      <c r="AE390" s="353" t="s">
        <v>550</v>
      </c>
    </row>
    <row r="391" spans="1:31" ht="93" hidden="1" customHeight="1">
      <c r="A391" s="22" t="s">
        <v>2209</v>
      </c>
      <c r="B391" s="814" t="str">
        <f>'ADMININSTRACIÓN DIR - OBRA'!B392</f>
        <v>2018-2021</v>
      </c>
      <c r="C391" s="16">
        <f>OBRA!K390</f>
        <v>2019</v>
      </c>
      <c r="D391" s="1444"/>
      <c r="E391" s="17" t="str">
        <f>OBRA!N390</f>
        <v>CUENTA CORRIENTE</v>
      </c>
      <c r="F391" s="479" t="s">
        <v>1427</v>
      </c>
      <c r="G391" s="467" t="s">
        <v>3703</v>
      </c>
      <c r="H391" s="527" t="s">
        <v>3703</v>
      </c>
      <c r="I391" s="692" t="s">
        <v>3703</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3497</v>
      </c>
      <c r="P391" s="67">
        <f>OBRA!T390</f>
        <v>43606</v>
      </c>
      <c r="Q391" s="79">
        <f>OBRA!S390</f>
        <v>643537.42000000004</v>
      </c>
      <c r="R391" s="5">
        <f>OBRA!U390</f>
        <v>43614</v>
      </c>
      <c r="S391" s="11">
        <f>OBRA!V390</f>
        <v>43675</v>
      </c>
      <c r="T391" s="208" t="s">
        <v>3818</v>
      </c>
      <c r="U391" s="62" t="s">
        <v>1427</v>
      </c>
      <c r="V391" s="500" t="s">
        <v>3703</v>
      </c>
      <c r="W391" s="589" t="s">
        <v>3703</v>
      </c>
      <c r="X391" s="1007">
        <f>OBRA!AS390</f>
        <v>289591.83999999997</v>
      </c>
      <c r="Y391" s="310"/>
      <c r="Z391" s="310"/>
      <c r="AA391" s="5"/>
      <c r="AB391" s="314"/>
      <c r="AC391" s="318">
        <f>OBRA!BX390</f>
        <v>0</v>
      </c>
      <c r="AD391" s="1"/>
      <c r="AE391" s="353" t="s">
        <v>550</v>
      </c>
    </row>
    <row r="392" spans="1:31" ht="109.5" hidden="1" customHeight="1">
      <c r="A392" s="22" t="s">
        <v>2209</v>
      </c>
      <c r="B392" s="814" t="str">
        <f>'ADMININSTRACIÓN DIR - OBRA'!B393</f>
        <v>2018-2021</v>
      </c>
      <c r="C392" s="16">
        <f>OBRA!K391</f>
        <v>2019</v>
      </c>
      <c r="D392" s="1444"/>
      <c r="E392" s="17" t="str">
        <f>OBRA!N391</f>
        <v>CUENTA CORRIENTE</v>
      </c>
      <c r="F392" s="479" t="s">
        <v>1427</v>
      </c>
      <c r="G392" s="497" t="s">
        <v>3704</v>
      </c>
      <c r="H392" s="496" t="s">
        <v>3704</v>
      </c>
      <c r="I392" s="497" t="s">
        <v>3704</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3497</v>
      </c>
      <c r="P392" s="67">
        <f>OBRA!T391</f>
        <v>43607</v>
      </c>
      <c r="Q392" s="79">
        <f>OBRA!S391</f>
        <v>413006.4</v>
      </c>
      <c r="R392" s="5">
        <f>OBRA!U391</f>
        <v>43619</v>
      </c>
      <c r="S392" s="11">
        <f>OBRA!V391</f>
        <v>43645</v>
      </c>
      <c r="T392" s="208" t="s">
        <v>3818</v>
      </c>
      <c r="U392" s="62" t="s">
        <v>1427</v>
      </c>
      <c r="V392" s="500" t="s">
        <v>3704</v>
      </c>
      <c r="W392" s="589" t="s">
        <v>3704</v>
      </c>
      <c r="X392" s="1005">
        <f>OBRA!AS391</f>
        <v>82601.279999999999</v>
      </c>
      <c r="Y392" s="310"/>
      <c r="Z392" s="310"/>
      <c r="AA392" s="5"/>
      <c r="AB392" s="314"/>
      <c r="AC392" s="318">
        <f>OBRA!BX391</f>
        <v>0</v>
      </c>
      <c r="AD392" s="1"/>
      <c r="AE392" s="353" t="s">
        <v>550</v>
      </c>
    </row>
    <row r="393" spans="1:31" ht="108.75" hidden="1" customHeight="1">
      <c r="A393" s="22" t="s">
        <v>2209</v>
      </c>
      <c r="B393" s="814" t="str">
        <f>'ADMININSTRACIÓN DIR - OBRA'!B394</f>
        <v>2018-2021</v>
      </c>
      <c r="C393" s="16">
        <f>OBRA!K392</f>
        <v>2019</v>
      </c>
      <c r="D393" s="1444"/>
      <c r="E393" s="17" t="str">
        <f>OBRA!N392</f>
        <v>CUENTA CORRIENTE</v>
      </c>
      <c r="F393" s="479" t="s">
        <v>1427</v>
      </c>
      <c r="G393" s="920" t="s">
        <v>3705</v>
      </c>
      <c r="H393" s="496" t="s">
        <v>3705</v>
      </c>
      <c r="I393" s="920" t="s">
        <v>3705</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3497</v>
      </c>
      <c r="P393" s="67">
        <f>OBRA!T392</f>
        <v>43637</v>
      </c>
      <c r="Q393" s="79">
        <f>OBRA!S392</f>
        <v>1649201.51</v>
      </c>
      <c r="R393" s="5">
        <f>OBRA!U392</f>
        <v>43640</v>
      </c>
      <c r="S393" s="11">
        <f>OBRA!V392</f>
        <v>43707</v>
      </c>
      <c r="T393" s="208" t="s">
        <v>3818</v>
      </c>
      <c r="U393" s="62" t="s">
        <v>1427</v>
      </c>
      <c r="V393" s="1324" t="s">
        <v>3705</v>
      </c>
      <c r="W393" s="692" t="s">
        <v>3705</v>
      </c>
      <c r="X393" s="1007">
        <f>OBRA!AS392</f>
        <v>164920.15</v>
      </c>
      <c r="Y393" s="310"/>
      <c r="Z393" s="310"/>
      <c r="AA393" s="5"/>
      <c r="AB393" s="314"/>
      <c r="AC393" s="318">
        <f>OBRA!BX392</f>
        <v>0</v>
      </c>
      <c r="AD393" s="1"/>
      <c r="AE393" s="353" t="s">
        <v>550</v>
      </c>
    </row>
    <row r="394" spans="1:31" ht="112.5" hidden="1" customHeight="1">
      <c r="A394" s="22" t="s">
        <v>2209</v>
      </c>
      <c r="B394" s="814" t="str">
        <f>'ADMININSTRACIÓN DIR - OBRA'!B395</f>
        <v>2018-2021</v>
      </c>
      <c r="C394" s="16">
        <f>OBRA!K393</f>
        <v>2019</v>
      </c>
      <c r="D394" s="1444"/>
      <c r="E394" s="17" t="str">
        <f>OBRA!N393</f>
        <v>CUENTA CORRIENTE</v>
      </c>
      <c r="F394" s="479" t="s">
        <v>1427</v>
      </c>
      <c r="G394" s="497" t="s">
        <v>3706</v>
      </c>
      <c r="H394" s="496" t="s">
        <v>3706</v>
      </c>
      <c r="I394" s="497" t="s">
        <v>3706</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3498</v>
      </c>
      <c r="P394" s="67">
        <f>OBRA!T393</f>
        <v>43705</v>
      </c>
      <c r="Q394" s="79">
        <f>OBRA!S393</f>
        <v>643537.42000000004</v>
      </c>
      <c r="R394" s="5">
        <f>OBRA!U393</f>
        <v>43710</v>
      </c>
      <c r="S394" s="11">
        <f>OBRA!V393</f>
        <v>43785</v>
      </c>
      <c r="T394" s="208" t="s">
        <v>3818</v>
      </c>
      <c r="U394" s="62" t="s">
        <v>1427</v>
      </c>
      <c r="V394" s="1324" t="s">
        <v>3706</v>
      </c>
      <c r="W394" s="692" t="s">
        <v>3706</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'ADMININSTRACIÓN DIR - OBRA'!B396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53"/>
      <c r="AC395" s="468">
        <f>OBRA!BX394</f>
        <v>0</v>
      </c>
      <c r="AD395" s="355"/>
      <c r="AE395" s="355"/>
    </row>
    <row r="396" spans="1:31" ht="103.5" hidden="1" customHeight="1">
      <c r="A396" s="22" t="s">
        <v>2209</v>
      </c>
      <c r="B396" s="814" t="str">
        <f>'ADMININSTRACIÓN DIR - OBRA'!B397</f>
        <v>2018-2021</v>
      </c>
      <c r="C396" s="16">
        <f>OBRA!K395</f>
        <v>2019</v>
      </c>
      <c r="D396" s="1444"/>
      <c r="E396" s="17" t="str">
        <f>OBRA!N395</f>
        <v>RAMO 33</v>
      </c>
      <c r="F396" s="479" t="s">
        <v>1427</v>
      </c>
      <c r="G396" s="467" t="s">
        <v>3707</v>
      </c>
      <c r="H396" s="527" t="s">
        <v>3707</v>
      </c>
      <c r="I396" s="692" t="s">
        <v>3707</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3498</v>
      </c>
      <c r="P396" s="67">
        <f>OBRA!T395</f>
        <v>43626</v>
      </c>
      <c r="Q396" s="79">
        <f>OBRA!S395</f>
        <v>75313.95</v>
      </c>
      <c r="R396" s="5">
        <f>OBRA!U395</f>
        <v>43627</v>
      </c>
      <c r="S396" s="11">
        <f>OBRA!V395</f>
        <v>43637</v>
      </c>
      <c r="T396" s="1381" t="s">
        <v>3819</v>
      </c>
      <c r="U396" s="62" t="s">
        <v>1427</v>
      </c>
      <c r="V396" s="467" t="s">
        <v>3707</v>
      </c>
      <c r="W396" s="692" t="s">
        <v>3707</v>
      </c>
      <c r="X396" s="1005">
        <f>OBRA!AS395</f>
        <v>15062.78</v>
      </c>
      <c r="Y396" s="310"/>
      <c r="Z396" s="310"/>
      <c r="AA396" s="5"/>
      <c r="AB396" s="314"/>
      <c r="AC396" s="318">
        <f>OBRA!BX395</f>
        <v>0</v>
      </c>
      <c r="AD396" s="1"/>
      <c r="AE396" s="353" t="s">
        <v>550</v>
      </c>
    </row>
    <row r="397" spans="1:31" ht="91.5" hidden="1" customHeight="1">
      <c r="A397" s="22" t="s">
        <v>2209</v>
      </c>
      <c r="B397" s="814" t="str">
        <f>'ADMININSTRACIÓN DIR - OBRA'!B398</f>
        <v>2018-2021</v>
      </c>
      <c r="C397" s="16">
        <f>OBRA!K396</f>
        <v>2019</v>
      </c>
      <c r="D397" s="1444"/>
      <c r="E397" s="17" t="str">
        <f>OBRA!N396</f>
        <v>RAMO 33</v>
      </c>
      <c r="F397" s="479" t="s">
        <v>1427</v>
      </c>
      <c r="G397" s="467" t="s">
        <v>3709</v>
      </c>
      <c r="H397" s="527" t="s">
        <v>3709</v>
      </c>
      <c r="I397" s="692" t="s">
        <v>3709</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3498</v>
      </c>
      <c r="P397" s="67">
        <f>OBRA!T396</f>
        <v>43670</v>
      </c>
      <c r="Q397" s="79">
        <f>OBRA!S396</f>
        <v>179219.86</v>
      </c>
      <c r="R397" s="5">
        <f>OBRA!U396</f>
        <v>43671</v>
      </c>
      <c r="S397" s="11">
        <f>OBRA!V396</f>
        <v>43687</v>
      </c>
      <c r="T397" s="1381" t="s">
        <v>3819</v>
      </c>
      <c r="U397" s="62" t="s">
        <v>1427</v>
      </c>
      <c r="V397" s="467" t="s">
        <v>3709</v>
      </c>
      <c r="W397" s="692" t="s">
        <v>3709</v>
      </c>
      <c r="X397" s="1006">
        <f>OBRA!AS396</f>
        <v>17921.98</v>
      </c>
      <c r="Y397" s="310"/>
      <c r="Z397" s="310"/>
      <c r="AA397" s="5"/>
      <c r="AB397" s="314"/>
      <c r="AC397" s="318">
        <f>OBRA!BX396</f>
        <v>0</v>
      </c>
      <c r="AD397" s="1"/>
      <c r="AE397" s="353"/>
    </row>
    <row r="398" spans="1:31" ht="111.75" hidden="1" customHeight="1">
      <c r="A398" s="22" t="s">
        <v>2209</v>
      </c>
      <c r="B398" s="814" t="str">
        <f>'ADMININSTRACIÓN DIR - OBRA'!B399</f>
        <v>2018-2021</v>
      </c>
      <c r="C398" s="16">
        <f>OBRA!K397</f>
        <v>2019</v>
      </c>
      <c r="D398" s="1444"/>
      <c r="E398" s="17" t="str">
        <f>OBRA!N397</f>
        <v>RAMO 33</v>
      </c>
      <c r="F398" s="479" t="s">
        <v>1427</v>
      </c>
      <c r="G398" s="467" t="s">
        <v>3710</v>
      </c>
      <c r="H398" s="527" t="s">
        <v>3710</v>
      </c>
      <c r="I398" s="692" t="s">
        <v>3710</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3498</v>
      </c>
      <c r="P398" s="67">
        <f>OBRA!T397</f>
        <v>43694</v>
      </c>
      <c r="Q398" s="79">
        <f>OBRA!S397</f>
        <v>77778.12</v>
      </c>
      <c r="R398" s="5">
        <f>OBRA!U397</f>
        <v>43703</v>
      </c>
      <c r="S398" s="11">
        <f>OBRA!V397</f>
        <v>43742</v>
      </c>
      <c r="T398" s="1381" t="s">
        <v>3819</v>
      </c>
      <c r="U398" s="62" t="s">
        <v>1427</v>
      </c>
      <c r="V398" s="500" t="s">
        <v>3710</v>
      </c>
      <c r="W398" s="1325" t="s">
        <v>3710</v>
      </c>
      <c r="X398" s="1005">
        <f>OBRA!AS397</f>
        <v>35000.15</v>
      </c>
      <c r="Y398" s="310"/>
      <c r="Z398" s="310"/>
      <c r="AA398" s="5"/>
      <c r="AB398" s="314"/>
      <c r="AC398" s="318">
        <f>OBRA!BX397</f>
        <v>0</v>
      </c>
      <c r="AD398" s="1"/>
      <c r="AE398" s="353" t="s">
        <v>550</v>
      </c>
    </row>
    <row r="399" spans="1:31" ht="126" hidden="1" customHeight="1">
      <c r="A399" s="22" t="s">
        <v>2209</v>
      </c>
      <c r="B399" s="814" t="str">
        <f>'ADMININSTRACIÓN DIR - OBRA'!B400</f>
        <v>2018-2021</v>
      </c>
      <c r="C399" s="16">
        <f>OBRA!K398</f>
        <v>2019</v>
      </c>
      <c r="D399" s="1444"/>
      <c r="E399" s="17" t="str">
        <f>OBRA!N398</f>
        <v>RAMO 33</v>
      </c>
      <c r="F399" s="479" t="s">
        <v>1427</v>
      </c>
      <c r="G399" s="467" t="s">
        <v>3711</v>
      </c>
      <c r="H399" s="527" t="s">
        <v>3711</v>
      </c>
      <c r="I399" s="692" t="s">
        <v>3711</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3498</v>
      </c>
      <c r="P399" s="67">
        <f>OBRA!T398</f>
        <v>43694</v>
      </c>
      <c r="Q399" s="79">
        <f>OBRA!S398</f>
        <v>108744.95</v>
      </c>
      <c r="R399" s="5">
        <f>OBRA!U398</f>
        <v>43703</v>
      </c>
      <c r="S399" s="11">
        <f>OBRA!V398</f>
        <v>43742</v>
      </c>
      <c r="T399" s="1381" t="s">
        <v>3819</v>
      </c>
      <c r="U399" s="62" t="s">
        <v>1427</v>
      </c>
      <c r="V399" s="467" t="s">
        <v>3711</v>
      </c>
      <c r="W399" s="692" t="s">
        <v>3711</v>
      </c>
      <c r="X399" s="1007">
        <f>OBRA!AS398</f>
        <v>48935.22</v>
      </c>
      <c r="Y399" s="310"/>
      <c r="Z399" s="310"/>
      <c r="AA399" s="5"/>
      <c r="AB399" s="314"/>
      <c r="AC399" s="318">
        <f>OBRA!BX398</f>
        <v>0</v>
      </c>
      <c r="AD399" s="1"/>
      <c r="AE399" s="353" t="s">
        <v>550</v>
      </c>
    </row>
    <row r="400" spans="1:31" ht="133.5" hidden="1" customHeight="1">
      <c r="A400" s="22" t="s">
        <v>2209</v>
      </c>
      <c r="B400" s="814" t="str">
        <f>'ADMININSTRACIÓN DIR - OBRA'!B401</f>
        <v>2018-2021</v>
      </c>
      <c r="C400" s="16">
        <f>OBRA!K399</f>
        <v>2019</v>
      </c>
      <c r="D400" s="1444"/>
      <c r="E400" s="17" t="str">
        <f>OBRA!N399</f>
        <v>RAMO 33</v>
      </c>
      <c r="F400" s="479" t="s">
        <v>1427</v>
      </c>
      <c r="G400" s="497" t="s">
        <v>3712</v>
      </c>
      <c r="H400" s="496" t="s">
        <v>3712</v>
      </c>
      <c r="I400" s="497" t="s">
        <v>3712</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3498</v>
      </c>
      <c r="P400" s="67">
        <f>OBRA!T399</f>
        <v>43707</v>
      </c>
      <c r="Q400" s="79">
        <f>OBRA!S399</f>
        <v>983216.32</v>
      </c>
      <c r="R400" s="5">
        <f>OBRA!U399</f>
        <v>43710</v>
      </c>
      <c r="S400" s="11">
        <f>OBRA!V399</f>
        <v>43785</v>
      </c>
      <c r="T400" s="1381" t="s">
        <v>3819</v>
      </c>
      <c r="U400" s="62" t="s">
        <v>1427</v>
      </c>
      <c r="V400" s="467" t="s">
        <v>3712</v>
      </c>
      <c r="W400" s="589" t="s">
        <v>3712</v>
      </c>
      <c r="X400" s="1007">
        <f>OBRA!AS399</f>
        <v>442447.33999999997</v>
      </c>
      <c r="Y400" s="310"/>
      <c r="Z400" s="310"/>
      <c r="AA400" s="5"/>
      <c r="AB400" s="314"/>
      <c r="AC400" s="318">
        <f>OBRA!BX399</f>
        <v>0</v>
      </c>
      <c r="AD400" s="1"/>
      <c r="AE400" s="353" t="s">
        <v>550</v>
      </c>
    </row>
    <row r="401" spans="1:31" ht="141.75" hidden="1" customHeight="1">
      <c r="A401" s="22" t="s">
        <v>2209</v>
      </c>
      <c r="B401" s="814" t="str">
        <f>'ADMININSTRACIÓN DIR - OBRA'!B402</f>
        <v>2018-2021</v>
      </c>
      <c r="C401" s="16">
        <f>OBRA!K400</f>
        <v>2019</v>
      </c>
      <c r="D401" s="1444"/>
      <c r="E401" s="17" t="str">
        <f>OBRA!N400</f>
        <v>RAMO 33</v>
      </c>
      <c r="F401" s="479" t="s">
        <v>1427</v>
      </c>
      <c r="G401" s="497" t="s">
        <v>3713</v>
      </c>
      <c r="H401" s="496" t="s">
        <v>3713</v>
      </c>
      <c r="I401" s="497" t="s">
        <v>3713</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3498</v>
      </c>
      <c r="P401" s="67">
        <f>OBRA!T400</f>
        <v>43707</v>
      </c>
      <c r="Q401" s="79">
        <f>OBRA!S400</f>
        <v>872749.01</v>
      </c>
      <c r="R401" s="5">
        <f>OBRA!U400</f>
        <v>43710</v>
      </c>
      <c r="S401" s="11">
        <f>OBRA!V400</f>
        <v>43785</v>
      </c>
      <c r="T401" s="1381" t="s">
        <v>3819</v>
      </c>
      <c r="U401" s="62" t="s">
        <v>1427</v>
      </c>
      <c r="V401" s="500" t="s">
        <v>3713</v>
      </c>
      <c r="W401" s="589" t="s">
        <v>3713</v>
      </c>
      <c r="X401" s="1007">
        <f>OBRA!AS400</f>
        <v>392737.05000000005</v>
      </c>
      <c r="Y401" s="310"/>
      <c r="Z401" s="310"/>
      <c r="AA401" s="5"/>
      <c r="AB401" s="314"/>
      <c r="AC401" s="318">
        <f>OBRA!BX400</f>
        <v>0</v>
      </c>
      <c r="AD401" s="1"/>
      <c r="AE401" s="353" t="s">
        <v>550</v>
      </c>
    </row>
    <row r="402" spans="1:31" ht="117.75" hidden="1" customHeight="1">
      <c r="A402" s="22" t="s">
        <v>2209</v>
      </c>
      <c r="B402" s="814" t="str">
        <f>'ADMININSTRACIÓN DIR - OBRA'!B403</f>
        <v>2018-2021</v>
      </c>
      <c r="C402" s="16">
        <f>OBRA!K401</f>
        <v>2019</v>
      </c>
      <c r="D402" s="1444"/>
      <c r="E402" s="17" t="str">
        <f>OBRA!N401</f>
        <v>RAMO 33</v>
      </c>
      <c r="F402" s="479" t="s">
        <v>1427</v>
      </c>
      <c r="G402" s="497" t="s">
        <v>3714</v>
      </c>
      <c r="H402" s="496" t="s">
        <v>3714</v>
      </c>
      <c r="I402" s="497" t="s">
        <v>3714</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3498</v>
      </c>
      <c r="P402" s="67">
        <f>OBRA!T401</f>
        <v>43707</v>
      </c>
      <c r="Q402" s="79">
        <f>OBRA!S401</f>
        <v>99707.9</v>
      </c>
      <c r="R402" s="5">
        <f>OBRA!U401</f>
        <v>43710</v>
      </c>
      <c r="S402" s="11">
        <f>OBRA!V401</f>
        <v>43731</v>
      </c>
      <c r="T402" s="1381" t="s">
        <v>3819</v>
      </c>
      <c r="U402" s="62" t="s">
        <v>1427</v>
      </c>
      <c r="V402" s="500" t="s">
        <v>3714</v>
      </c>
      <c r="W402" s="589" t="s">
        <v>3714</v>
      </c>
      <c r="X402" s="1007">
        <f>OBRA!AS401</f>
        <v>43579.32</v>
      </c>
      <c r="Y402" s="310"/>
      <c r="Z402" s="310"/>
      <c r="AA402" s="5"/>
      <c r="AB402" s="314"/>
      <c r="AC402" s="318">
        <f>OBRA!BX401</f>
        <v>0</v>
      </c>
      <c r="AD402" s="1"/>
      <c r="AE402" s="353" t="s">
        <v>550</v>
      </c>
    </row>
    <row r="403" spans="1:31" ht="117.75" hidden="1" customHeight="1">
      <c r="A403" s="22" t="s">
        <v>2209</v>
      </c>
      <c r="B403" s="814" t="str">
        <f>'ADMININSTRACIÓN DIR - OBRA'!B404</f>
        <v>2018-2021</v>
      </c>
      <c r="C403" s="16">
        <f>OBRA!K402</f>
        <v>2019</v>
      </c>
      <c r="D403" s="1444"/>
      <c r="E403" s="17" t="str">
        <f>OBRA!N402</f>
        <v>RAMO 33</v>
      </c>
      <c r="F403" s="479" t="s">
        <v>1427</v>
      </c>
      <c r="G403" s="497" t="s">
        <v>3714</v>
      </c>
      <c r="H403" s="496" t="s">
        <v>3714</v>
      </c>
      <c r="I403" s="497" t="s">
        <v>3714</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3498</v>
      </c>
      <c r="P403" s="67">
        <f>OBRA!T402</f>
        <v>43707</v>
      </c>
      <c r="Q403" s="79">
        <f>OBRA!S402</f>
        <v>118188.71</v>
      </c>
      <c r="R403" s="5">
        <f>OBRA!U402</f>
        <v>43710</v>
      </c>
      <c r="S403" s="11">
        <f>OBRA!V402</f>
        <v>43731</v>
      </c>
      <c r="T403" s="1381" t="s">
        <v>3819</v>
      </c>
      <c r="U403" s="62" t="s">
        <v>1427</v>
      </c>
      <c r="V403" s="500" t="s">
        <v>3714</v>
      </c>
      <c r="W403" s="589" t="s">
        <v>3714</v>
      </c>
      <c r="X403" s="1007">
        <f>OBRA!AS402</f>
        <v>43579.32</v>
      </c>
      <c r="Y403" s="310"/>
      <c r="Z403" s="310"/>
      <c r="AA403" s="5"/>
      <c r="AB403" s="314"/>
      <c r="AC403" s="318">
        <f>OBRA!BX402</f>
        <v>0</v>
      </c>
      <c r="AD403" s="1"/>
      <c r="AE403" s="353" t="s">
        <v>550</v>
      </c>
    </row>
    <row r="404" spans="1:31" ht="108.75" hidden="1" customHeight="1">
      <c r="A404" s="22" t="s">
        <v>2209</v>
      </c>
      <c r="B404" s="814" t="str">
        <f>'ADMININSTRACIÓN DIR - OBRA'!B405</f>
        <v>2018-2021</v>
      </c>
      <c r="C404" s="16">
        <f>OBRA!K403</f>
        <v>2019</v>
      </c>
      <c r="D404" s="1444"/>
      <c r="E404" s="17" t="str">
        <f>OBRA!N403</f>
        <v>RAMO 33</v>
      </c>
      <c r="F404" s="479" t="s">
        <v>1427</v>
      </c>
      <c r="G404" s="467" t="s">
        <v>3715</v>
      </c>
      <c r="H404" s="527" t="s">
        <v>3715</v>
      </c>
      <c r="I404" s="692" t="s">
        <v>3715</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3498</v>
      </c>
      <c r="P404" s="67">
        <f>OBRA!T403</f>
        <v>43740</v>
      </c>
      <c r="Q404" s="79">
        <f>OBRA!S403</f>
        <v>104942</v>
      </c>
      <c r="R404" s="5">
        <f>OBRA!U403</f>
        <v>43741</v>
      </c>
      <c r="S404" s="11">
        <f>OBRA!V403</f>
        <v>43768</v>
      </c>
      <c r="T404" s="1381" t="s">
        <v>3819</v>
      </c>
      <c r="U404" s="62" t="s">
        <v>1427</v>
      </c>
      <c r="V404" s="467" t="s">
        <v>3715</v>
      </c>
      <c r="W404" s="692" t="s">
        <v>3715</v>
      </c>
      <c r="X404" s="1005">
        <f>OBRA!AS403</f>
        <v>20988.400000000001</v>
      </c>
      <c r="Y404" s="310"/>
      <c r="Z404" s="310"/>
      <c r="AA404" s="5"/>
      <c r="AB404" s="314"/>
      <c r="AC404" s="318">
        <f>OBRA!BX403</f>
        <v>0</v>
      </c>
      <c r="AD404" s="1"/>
      <c r="AE404" s="353" t="s">
        <v>550</v>
      </c>
    </row>
    <row r="405" spans="1:31" ht="106.5" hidden="1" customHeight="1">
      <c r="A405" s="22" t="s">
        <v>2209</v>
      </c>
      <c r="B405" s="814" t="str">
        <f>'ADMININSTRACIÓN DIR - OBRA'!B406</f>
        <v>2018-2021</v>
      </c>
      <c r="C405" s="16">
        <f>OBRA!K404</f>
        <v>2019</v>
      </c>
      <c r="D405" s="1444"/>
      <c r="E405" s="17" t="str">
        <f>OBRA!N404</f>
        <v>RAMO 33</v>
      </c>
      <c r="F405" s="479" t="s">
        <v>1427</v>
      </c>
      <c r="G405" s="467" t="s">
        <v>3716</v>
      </c>
      <c r="H405" s="527" t="s">
        <v>3716</v>
      </c>
      <c r="I405" s="692" t="s">
        <v>3716</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3499</v>
      </c>
      <c r="P405" s="67">
        <f>OBRA!T404</f>
        <v>43740</v>
      </c>
      <c r="Q405" s="79">
        <f>OBRA!S404</f>
        <v>124713.47</v>
      </c>
      <c r="R405" s="5">
        <f>OBRA!U404</f>
        <v>43741</v>
      </c>
      <c r="S405" s="11">
        <f>OBRA!V404</f>
        <v>43768</v>
      </c>
      <c r="T405" s="1381" t="s">
        <v>3819</v>
      </c>
      <c r="U405" s="62" t="s">
        <v>1427</v>
      </c>
      <c r="V405" s="467" t="s">
        <v>3716</v>
      </c>
      <c r="W405" s="692" t="s">
        <v>3716</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'ADMININSTRACIÓN DIR - OBRA'!B407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53"/>
      <c r="AC406" s="468">
        <f>OBRA!BX405</f>
        <v>0</v>
      </c>
      <c r="AD406" s="355"/>
      <c r="AE406" s="355"/>
    </row>
    <row r="407" spans="1:31" ht="100.5" hidden="1" customHeight="1">
      <c r="A407" s="22" t="s">
        <v>2209</v>
      </c>
      <c r="B407" s="814" t="str">
        <f>'ADMININSTRACIÓN DIR - OBRA'!B408</f>
        <v>2018-2021</v>
      </c>
      <c r="C407" s="16">
        <f>OBRA!K406</f>
        <v>2019</v>
      </c>
      <c r="D407" s="1444"/>
      <c r="E407" s="18" t="str">
        <f>OBRA!N406</f>
        <v>RASTRO DIGNO / CTA-CTE</v>
      </c>
      <c r="F407" s="597" t="s">
        <v>3708</v>
      </c>
      <c r="G407" s="497" t="s">
        <v>3717</v>
      </c>
      <c r="H407" s="496" t="s">
        <v>3717</v>
      </c>
      <c r="I407" s="497" t="s">
        <v>3717</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3499</v>
      </c>
      <c r="P407" s="6">
        <f>OBRA!T406</f>
        <v>43755</v>
      </c>
      <c r="Q407" s="4">
        <f>OBRA!S406</f>
        <v>1393906.05</v>
      </c>
      <c r="R407" s="5">
        <f>OBRA!U406</f>
        <v>43759</v>
      </c>
      <c r="S407" s="11">
        <f>OBRA!V406</f>
        <v>43830</v>
      </c>
      <c r="T407" s="1381" t="s">
        <v>3819</v>
      </c>
      <c r="U407" s="204"/>
      <c r="V407" s="500" t="s">
        <v>3717</v>
      </c>
      <c r="W407" s="589" t="s">
        <v>3717</v>
      </c>
      <c r="X407" s="1007">
        <f>OBRA!AS406</f>
        <v>627257.56000000006</v>
      </c>
      <c r="Y407" s="310"/>
      <c r="Z407" s="310"/>
      <c r="AA407" s="5"/>
      <c r="AB407" s="314"/>
      <c r="AC407" s="318">
        <f>OBRA!BX406</f>
        <v>0</v>
      </c>
      <c r="AD407" s="1"/>
      <c r="AE407" s="353"/>
    </row>
    <row r="408" spans="1:31" ht="141.75" hidden="1" customHeight="1">
      <c r="A408" s="22" t="s">
        <v>2209</v>
      </c>
      <c r="B408" s="814" t="str">
        <f>'ADMININSTRACIÓN DIR - OBRA'!B409</f>
        <v>2018-2021</v>
      </c>
      <c r="C408" s="16">
        <f>OBRA!K407</f>
        <v>2019</v>
      </c>
      <c r="D408" s="1444" t="s">
        <v>4024</v>
      </c>
      <c r="E408" s="18" t="str">
        <f>OBRA!N407</f>
        <v>RASTRO DIGNO / CTA-CTE</v>
      </c>
      <c r="F408" s="597" t="s">
        <v>3708</v>
      </c>
      <c r="G408" s="497" t="s">
        <v>3718</v>
      </c>
      <c r="H408" s="496" t="s">
        <v>3718</v>
      </c>
      <c r="I408" s="497" t="s">
        <v>3718</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3499</v>
      </c>
      <c r="P408" s="6">
        <f>OBRA!T407</f>
        <v>43755</v>
      </c>
      <c r="Q408" s="4">
        <f>OBRA!S407</f>
        <v>1414229.08</v>
      </c>
      <c r="R408" s="5">
        <f>OBRA!U407</f>
        <v>43759</v>
      </c>
      <c r="S408" s="11">
        <f>OBRA!V407</f>
        <v>43830</v>
      </c>
      <c r="T408" s="1381" t="s">
        <v>3819</v>
      </c>
      <c r="U408" s="204"/>
      <c r="V408" s="500" t="s">
        <v>3718</v>
      </c>
      <c r="W408" s="589" t="s">
        <v>3718</v>
      </c>
      <c r="X408" s="1007">
        <f>OBRA!AS407</f>
        <v>636403.09000000008</v>
      </c>
      <c r="Y408" s="310"/>
      <c r="Z408" s="310"/>
      <c r="AA408" s="5"/>
      <c r="AB408" s="314"/>
      <c r="AC408" s="318">
        <f>OBRA!BX407</f>
        <v>0</v>
      </c>
      <c r="AD408" s="1"/>
      <c r="AE408" s="353"/>
    </row>
    <row r="409" spans="1:31" ht="95.25" hidden="1" customHeight="1">
      <c r="A409" s="22" t="s">
        <v>2209</v>
      </c>
      <c r="B409" s="814" t="str">
        <f>'ADMININSTRACIÓN DIR - OBRA'!B410</f>
        <v>2018-2021</v>
      </c>
      <c r="C409" s="16">
        <f>OBRA!K408</f>
        <v>2019</v>
      </c>
      <c r="D409" s="1444"/>
      <c r="E409" s="17" t="str">
        <f>OBRA!N408</f>
        <v>RAMO 33</v>
      </c>
      <c r="F409" s="479" t="s">
        <v>1427</v>
      </c>
      <c r="G409" s="920" t="s">
        <v>3719</v>
      </c>
      <c r="H409" s="496" t="s">
        <v>3719</v>
      </c>
      <c r="I409" s="497" t="s">
        <v>3719</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3499</v>
      </c>
      <c r="P409" s="6">
        <f>OBRA!T408</f>
        <v>43755</v>
      </c>
      <c r="Q409" s="4">
        <f>OBRA!S408</f>
        <v>198328.91</v>
      </c>
      <c r="R409" s="5">
        <f>OBRA!U408</f>
        <v>43759</v>
      </c>
      <c r="S409" s="11">
        <f>OBRA!V408</f>
        <v>43809</v>
      </c>
      <c r="T409" s="1381" t="s">
        <v>3819</v>
      </c>
      <c r="U409" s="62" t="s">
        <v>1427</v>
      </c>
      <c r="V409" s="500" t="s">
        <v>3719</v>
      </c>
      <c r="W409" s="589" t="s">
        <v>3719</v>
      </c>
      <c r="X409" s="1007">
        <f>OBRA!AS408</f>
        <v>38382.93</v>
      </c>
      <c r="Y409" s="310"/>
      <c r="Z409" s="310"/>
      <c r="AA409" s="5"/>
      <c r="AB409" s="314"/>
      <c r="AC409" s="318">
        <f>OBRA!BX408</f>
        <v>0</v>
      </c>
      <c r="AD409" s="1"/>
      <c r="AE409" s="353" t="s">
        <v>550</v>
      </c>
    </row>
    <row r="410" spans="1:31" ht="96" hidden="1" customHeight="1">
      <c r="A410" s="22" t="s">
        <v>2209</v>
      </c>
      <c r="B410" s="814" t="str">
        <f>'ADMININSTRACIÓN DIR - OBRA'!B411</f>
        <v>2018-2021</v>
      </c>
      <c r="C410" s="16">
        <f>OBRA!K409</f>
        <v>2019</v>
      </c>
      <c r="D410" s="1444"/>
      <c r="E410" s="17" t="str">
        <f>OBRA!N409</f>
        <v>RAMO 33</v>
      </c>
      <c r="F410" s="479" t="s">
        <v>1427</v>
      </c>
      <c r="G410" s="920" t="s">
        <v>3720</v>
      </c>
      <c r="H410" s="467" t="s">
        <v>3720</v>
      </c>
      <c r="I410" s="497" t="s">
        <v>3720</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3499</v>
      </c>
      <c r="P410" s="6">
        <f>OBRA!T409</f>
        <v>43755</v>
      </c>
      <c r="Q410" s="4">
        <f>OBRA!S409</f>
        <v>135637.59</v>
      </c>
      <c r="R410" s="5">
        <f>OBRA!U409</f>
        <v>43759</v>
      </c>
      <c r="S410" s="11">
        <f>OBRA!V409</f>
        <v>43809</v>
      </c>
      <c r="T410" s="1381" t="s">
        <v>3819</v>
      </c>
      <c r="U410" s="62" t="s">
        <v>1427</v>
      </c>
      <c r="V410" s="500" t="s">
        <v>3720</v>
      </c>
      <c r="W410" s="589" t="s">
        <v>3720</v>
      </c>
      <c r="X410" s="1007">
        <f>OBRA!AS409</f>
        <v>27591.190000000002</v>
      </c>
      <c r="Y410" s="310"/>
      <c r="Z410" s="310"/>
      <c r="AA410" s="5"/>
      <c r="AB410" s="314"/>
      <c r="AC410" s="318">
        <f>OBRA!BX409</f>
        <v>0</v>
      </c>
      <c r="AD410" s="1"/>
      <c r="AE410" s="353" t="s">
        <v>550</v>
      </c>
    </row>
    <row r="411" spans="1:31" ht="126" hidden="1" customHeight="1">
      <c r="A411" s="22" t="s">
        <v>2209</v>
      </c>
      <c r="B411" s="814" t="str">
        <f>'ADMININSTRACIÓN DIR - OBRA'!B412</f>
        <v>2018-2021</v>
      </c>
      <c r="C411" s="16">
        <f>OBRA!K410</f>
        <v>2019</v>
      </c>
      <c r="D411" s="1444"/>
      <c r="E411" s="17" t="str">
        <f>OBRA!N410</f>
        <v>RAMO 33</v>
      </c>
      <c r="F411" s="479" t="s">
        <v>1427</v>
      </c>
      <c r="G411" s="497" t="s">
        <v>3721</v>
      </c>
      <c r="H411" s="496" t="s">
        <v>3721</v>
      </c>
      <c r="I411" s="497" t="s">
        <v>3721</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3499</v>
      </c>
      <c r="P411" s="6">
        <f>OBRA!T410</f>
        <v>43755</v>
      </c>
      <c r="Q411" s="4">
        <f>OBRA!S410</f>
        <v>883708.77</v>
      </c>
      <c r="R411" s="5">
        <f>OBRA!U410</f>
        <v>43759</v>
      </c>
      <c r="S411" s="11">
        <f>OBRA!V410</f>
        <v>43809</v>
      </c>
      <c r="T411" s="1381" t="s">
        <v>3819</v>
      </c>
      <c r="U411" s="62" t="s">
        <v>1427</v>
      </c>
      <c r="V411" s="500" t="s">
        <v>3721</v>
      </c>
      <c r="W411" s="589" t="s">
        <v>3721</v>
      </c>
      <c r="X411" s="1007">
        <f>OBRA!AS410</f>
        <v>170988.1</v>
      </c>
      <c r="Y411" s="310"/>
      <c r="Z411" s="310"/>
      <c r="AA411" s="5"/>
      <c r="AB411" s="314"/>
      <c r="AC411" s="318">
        <f>OBRA!BX410</f>
        <v>0</v>
      </c>
      <c r="AD411" s="1"/>
      <c r="AE411" s="353" t="s">
        <v>550</v>
      </c>
    </row>
    <row r="412" spans="1:31" ht="113.25" hidden="1" customHeight="1">
      <c r="A412" s="22" t="s">
        <v>2209</v>
      </c>
      <c r="B412" s="814" t="str">
        <f>'ADMININSTRACIÓN DIR - OBRA'!B413</f>
        <v>2018-2021</v>
      </c>
      <c r="C412" s="16">
        <f>OBRA!K411</f>
        <v>2019</v>
      </c>
      <c r="D412" s="1444"/>
      <c r="E412" s="17" t="str">
        <f>OBRA!N411</f>
        <v>RAMO 33</v>
      </c>
      <c r="F412" s="479" t="s">
        <v>1427</v>
      </c>
      <c r="G412" s="497" t="s">
        <v>3722</v>
      </c>
      <c r="H412" s="496" t="s">
        <v>3722</v>
      </c>
      <c r="I412" s="497" t="s">
        <v>3722</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3499</v>
      </c>
      <c r="P412" s="67">
        <f>OBRA!T411</f>
        <v>43754</v>
      </c>
      <c r="Q412" s="79">
        <f>OBRA!S411</f>
        <v>269609.8</v>
      </c>
      <c r="R412" s="5">
        <f>OBRA!U411</f>
        <v>43755</v>
      </c>
      <c r="S412" s="11">
        <f>OBRA!V411</f>
        <v>43799</v>
      </c>
      <c r="T412" s="1381" t="s">
        <v>3819</v>
      </c>
      <c r="U412" s="62" t="s">
        <v>1427</v>
      </c>
      <c r="V412" s="500" t="s">
        <v>3722</v>
      </c>
      <c r="W412" s="1325" t="s">
        <v>3722</v>
      </c>
      <c r="X412" s="1005">
        <f>OBRA!AS411</f>
        <v>56556.3</v>
      </c>
      <c r="Y412" s="310"/>
      <c r="Z412" s="310"/>
      <c r="AA412" s="5"/>
      <c r="AB412" s="314"/>
      <c r="AC412" s="318">
        <f>OBRA!BX411</f>
        <v>0</v>
      </c>
      <c r="AD412" s="1"/>
      <c r="AE412" s="353" t="s">
        <v>550</v>
      </c>
    </row>
    <row r="413" spans="1:31" ht="121.5" hidden="1" customHeight="1">
      <c r="A413" s="22" t="s">
        <v>2209</v>
      </c>
      <c r="B413" s="814" t="str">
        <f>'ADMININSTRACIÓN DIR - OBRA'!B414</f>
        <v>2018-2021</v>
      </c>
      <c r="C413" s="16">
        <f>OBRA!K412</f>
        <v>2019</v>
      </c>
      <c r="D413" s="1444"/>
      <c r="E413" s="17" t="str">
        <f>OBRA!N412</f>
        <v>RAMO 33</v>
      </c>
      <c r="F413" s="479" t="s">
        <v>1427</v>
      </c>
      <c r="G413" s="497" t="s">
        <v>3723</v>
      </c>
      <c r="H413" s="496" t="s">
        <v>3723</v>
      </c>
      <c r="I413" s="503" t="s">
        <v>3723</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3499</v>
      </c>
      <c r="P413" s="67">
        <f>OBRA!T412</f>
        <v>43754</v>
      </c>
      <c r="Q413" s="79">
        <f>OBRA!S412</f>
        <v>104875.19</v>
      </c>
      <c r="R413" s="5">
        <f>OBRA!U412</f>
        <v>43762</v>
      </c>
      <c r="S413" s="11">
        <f>OBRA!V412</f>
        <v>43799</v>
      </c>
      <c r="T413" s="1381" t="s">
        <v>3819</v>
      </c>
      <c r="U413" s="62" t="s">
        <v>1427</v>
      </c>
      <c r="V413" s="500" t="s">
        <v>3723</v>
      </c>
      <c r="W413" s="589" t="s">
        <v>3723</v>
      </c>
      <c r="X413" s="1007">
        <f>OBRA!AS412</f>
        <v>20970.04</v>
      </c>
      <c r="Y413" s="310"/>
      <c r="Z413" s="310"/>
      <c r="AA413" s="5"/>
      <c r="AB413" s="314"/>
      <c r="AC413" s="318">
        <f>OBRA!BX412</f>
        <v>0</v>
      </c>
      <c r="AD413" s="1"/>
      <c r="AE413" s="353" t="s">
        <v>550</v>
      </c>
    </row>
    <row r="414" spans="1:31" ht="117.75" hidden="1" customHeight="1">
      <c r="A414" s="22" t="s">
        <v>2209</v>
      </c>
      <c r="B414" s="814" t="str">
        <f>'ADMININSTRACIÓN DIR - OBRA'!B415</f>
        <v>2018-2021</v>
      </c>
      <c r="C414" s="16">
        <f>OBRA!K413</f>
        <v>2019</v>
      </c>
      <c r="D414" s="1444"/>
      <c r="E414" s="17" t="str">
        <f>OBRA!N413</f>
        <v>RAMO 33</v>
      </c>
      <c r="F414" s="479" t="s">
        <v>1427</v>
      </c>
      <c r="G414" s="497" t="s">
        <v>3843</v>
      </c>
      <c r="H414" s="496" t="s">
        <v>3843</v>
      </c>
      <c r="I414" s="497" t="s">
        <v>3843</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3499</v>
      </c>
      <c r="P414" s="67">
        <f>OBRA!T413</f>
        <v>43754</v>
      </c>
      <c r="Q414" s="79">
        <f>OBRA!S413</f>
        <v>702979.49</v>
      </c>
      <c r="R414" s="5">
        <f>OBRA!U413</f>
        <v>43762</v>
      </c>
      <c r="S414" s="11">
        <f>OBRA!V413</f>
        <v>43799</v>
      </c>
      <c r="T414" s="1381" t="s">
        <v>3819</v>
      </c>
      <c r="U414" s="62" t="s">
        <v>1427</v>
      </c>
      <c r="V414" s="500" t="s">
        <v>3843</v>
      </c>
      <c r="W414" s="589" t="s">
        <v>3843</v>
      </c>
      <c r="X414" s="1007">
        <f>OBRA!AS413</f>
        <v>144872.22</v>
      </c>
      <c r="Y414" s="310"/>
      <c r="Z414" s="310"/>
      <c r="AA414" s="5"/>
      <c r="AB414" s="314"/>
      <c r="AC414" s="318">
        <f>OBRA!BX413</f>
        <v>0</v>
      </c>
      <c r="AD414" s="1"/>
      <c r="AE414" s="353"/>
    </row>
    <row r="415" spans="1:31" ht="90" hidden="1" customHeight="1">
      <c r="A415" s="22" t="s">
        <v>2209</v>
      </c>
      <c r="B415" s="814" t="str">
        <f>'ADMININSTRACIÓN DIR - OBRA'!B416</f>
        <v>2018-2021</v>
      </c>
      <c r="C415" s="16">
        <f>OBRA!K414</f>
        <v>2019</v>
      </c>
      <c r="D415" s="1444"/>
      <c r="E415" s="17" t="str">
        <f>OBRA!N414</f>
        <v>RAMO 33</v>
      </c>
      <c r="F415" s="479" t="s">
        <v>1427</v>
      </c>
      <c r="G415" s="920" t="s">
        <v>3724</v>
      </c>
      <c r="H415" s="496" t="s">
        <v>3724</v>
      </c>
      <c r="I415" s="497" t="s">
        <v>3724</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3500</v>
      </c>
      <c r="P415" s="67">
        <f>OBRA!T414</f>
        <v>43754</v>
      </c>
      <c r="Q415" s="79">
        <f>OBRA!S414</f>
        <v>311860.06</v>
      </c>
      <c r="R415" s="5">
        <f>OBRA!U414</f>
        <v>43759</v>
      </c>
      <c r="S415" s="11">
        <f>OBRA!V414</f>
        <v>43790</v>
      </c>
      <c r="T415" s="1381" t="s">
        <v>3819</v>
      </c>
      <c r="U415" s="62" t="s">
        <v>1427</v>
      </c>
      <c r="V415" s="500" t="s">
        <v>3724</v>
      </c>
      <c r="W415" s="589" t="s">
        <v>3724</v>
      </c>
      <c r="X415" s="1007">
        <f>OBRA!AS414</f>
        <v>62372</v>
      </c>
      <c r="Y415" s="310"/>
      <c r="Z415" s="310"/>
      <c r="AA415" s="5"/>
      <c r="AB415" s="314"/>
      <c r="AC415" s="318">
        <f>OBRA!BX414</f>
        <v>0</v>
      </c>
      <c r="AD415" s="1"/>
      <c r="AE415" s="353" t="s">
        <v>550</v>
      </c>
    </row>
    <row r="416" spans="1:31" s="104" customFormat="1" ht="15" hidden="1" customHeight="1">
      <c r="A416" s="81" t="s">
        <v>2209</v>
      </c>
      <c r="B416" s="825" t="str">
        <f>'ADMININSTRACIÓN DIR - OBRA'!B417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53"/>
      <c r="AC416" s="468">
        <f>OBRA!BX415</f>
        <v>0</v>
      </c>
      <c r="AD416" s="355"/>
      <c r="AE416" s="355"/>
    </row>
    <row r="417" spans="1:31" s="104" customFormat="1" ht="15" hidden="1" customHeight="1">
      <c r="A417" s="81" t="s">
        <v>2209</v>
      </c>
      <c r="B417" s="825" t="str">
        <f>'ADMININSTRACIÓN DIR - OBRA'!B418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53"/>
      <c r="AC417" s="468">
        <f>OBRA!BX416</f>
        <v>0</v>
      </c>
      <c r="AD417" s="355"/>
      <c r="AE417" s="355"/>
    </row>
    <row r="418" spans="1:31" ht="129" hidden="1" customHeight="1">
      <c r="A418" s="22" t="s">
        <v>2209</v>
      </c>
      <c r="B418" s="814" t="str">
        <f>'ADMININSTRACIÓN DIR - OBRA'!B419</f>
        <v>2018-2021</v>
      </c>
      <c r="C418" s="16">
        <f>OBRA!K417</f>
        <v>2019</v>
      </c>
      <c r="D418" s="1444"/>
      <c r="E418" s="17" t="str">
        <f>OBRA!N417</f>
        <v>RAMO 33</v>
      </c>
      <c r="F418" s="479" t="s">
        <v>1427</v>
      </c>
      <c r="G418" s="563" t="s">
        <v>3725</v>
      </c>
      <c r="H418" s="496" t="s">
        <v>3725</v>
      </c>
      <c r="I418" s="563" t="s">
        <v>3725</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3500</v>
      </c>
      <c r="P418" s="67">
        <f>OBRA!T417</f>
        <v>43754</v>
      </c>
      <c r="Q418" s="79">
        <f>OBRA!S417</f>
        <v>82700.09</v>
      </c>
      <c r="R418" s="5">
        <f>OBRA!U417</f>
        <v>43755</v>
      </c>
      <c r="S418" s="11">
        <f>OBRA!V417</f>
        <v>43767</v>
      </c>
      <c r="T418" s="1381" t="s">
        <v>3819</v>
      </c>
      <c r="U418" s="62" t="s">
        <v>1427</v>
      </c>
      <c r="V418" s="500" t="s">
        <v>3725</v>
      </c>
      <c r="W418" s="589" t="s">
        <v>3725</v>
      </c>
      <c r="X418" s="1005">
        <f>OBRA!AS417</f>
        <v>48335.01</v>
      </c>
      <c r="Y418" s="310"/>
      <c r="Z418" s="310"/>
      <c r="AA418" s="5"/>
      <c r="AB418" s="314"/>
      <c r="AC418" s="318">
        <f>OBRA!BX417</f>
        <v>0</v>
      </c>
      <c r="AD418" s="1"/>
      <c r="AE418" s="353" t="s">
        <v>550</v>
      </c>
    </row>
    <row r="419" spans="1:31" ht="109.5" hidden="1" customHeight="1">
      <c r="A419" s="22" t="s">
        <v>2209</v>
      </c>
      <c r="B419" s="814" t="str">
        <f>'ADMININSTRACIÓN DIR - OBRA'!B420</f>
        <v>2018-2021</v>
      </c>
      <c r="C419" s="16">
        <f>OBRA!K418</f>
        <v>2019</v>
      </c>
      <c r="D419" s="1444"/>
      <c r="E419" s="17" t="str">
        <f>OBRA!N418</f>
        <v>RAMO 33</v>
      </c>
      <c r="F419" s="479" t="s">
        <v>1427</v>
      </c>
      <c r="G419" s="563" t="s">
        <v>3726</v>
      </c>
      <c r="H419" s="496" t="s">
        <v>3726</v>
      </c>
      <c r="I419" s="563" t="s">
        <v>3726</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3500</v>
      </c>
      <c r="P419" s="67">
        <f>OBRA!T418</f>
        <v>43794</v>
      </c>
      <c r="Q419" s="79">
        <f>OBRA!S418</f>
        <v>118488.2</v>
      </c>
      <c r="R419" s="5">
        <f>OBRA!U418</f>
        <v>43795</v>
      </c>
      <c r="S419" s="11">
        <f>OBRA!V418</f>
        <v>43813</v>
      </c>
      <c r="T419" s="1381" t="s">
        <v>3819</v>
      </c>
      <c r="U419" s="62" t="s">
        <v>1427</v>
      </c>
      <c r="V419" s="500" t="s">
        <v>3726</v>
      </c>
      <c r="W419" s="589" t="s">
        <v>3726</v>
      </c>
      <c r="X419" s="1007">
        <f>OBRA!AS418</f>
        <v>23697.64</v>
      </c>
      <c r="Y419" s="310"/>
      <c r="Z419" s="310"/>
      <c r="AA419" s="5"/>
      <c r="AB419" s="314"/>
      <c r="AC419" s="318">
        <f>OBRA!BX418</f>
        <v>0</v>
      </c>
      <c r="AD419" s="1"/>
      <c r="AE419" s="353" t="s">
        <v>550</v>
      </c>
    </row>
    <row r="420" spans="1:31" ht="123.75" hidden="1" customHeight="1">
      <c r="A420" s="22" t="s">
        <v>2209</v>
      </c>
      <c r="B420" s="814" t="str">
        <f>'ADMININSTRACIÓN DIR - OBRA'!B421</f>
        <v>2018-2021</v>
      </c>
      <c r="C420" s="16">
        <f>OBRA!K419</f>
        <v>2019</v>
      </c>
      <c r="D420" s="1444"/>
      <c r="E420" s="17" t="str">
        <f>OBRA!N419</f>
        <v>RAMO 33</v>
      </c>
      <c r="F420" s="479" t="s">
        <v>1427</v>
      </c>
      <c r="G420" s="497" t="s">
        <v>3727</v>
      </c>
      <c r="H420" s="496" t="s">
        <v>3727</v>
      </c>
      <c r="I420" s="497" t="s">
        <v>3727</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3500</v>
      </c>
      <c r="P420" s="67">
        <f>OBRA!T419</f>
        <v>43794</v>
      </c>
      <c r="Q420" s="79">
        <f>OBRA!S419</f>
        <v>267068.21999999997</v>
      </c>
      <c r="R420" s="5">
        <f>OBRA!U419</f>
        <v>43801</v>
      </c>
      <c r="S420" s="11">
        <f>OBRA!V419</f>
        <v>43830</v>
      </c>
      <c r="T420" s="1381" t="s">
        <v>3819</v>
      </c>
      <c r="U420" s="62" t="s">
        <v>1427</v>
      </c>
      <c r="V420" s="500" t="s">
        <v>3727</v>
      </c>
      <c r="W420" s="589" t="s">
        <v>3727</v>
      </c>
      <c r="X420" s="1007">
        <f>OBRA!AS419</f>
        <v>53413.64</v>
      </c>
      <c r="Y420" s="310"/>
      <c r="Z420" s="310"/>
      <c r="AA420" s="5"/>
      <c r="AB420" s="314"/>
      <c r="AC420" s="318">
        <f>OBRA!BX419</f>
        <v>0</v>
      </c>
      <c r="AD420" s="1"/>
      <c r="AE420" s="353" t="s">
        <v>550</v>
      </c>
    </row>
    <row r="421" spans="1:31" ht="93" hidden="1" customHeight="1">
      <c r="A421" s="22" t="s">
        <v>2209</v>
      </c>
      <c r="B421" s="814" t="str">
        <f>'ADMININSTRACIÓN DIR - OBRA'!B423</f>
        <v>2018-2021</v>
      </c>
      <c r="C421" s="16">
        <f>OBRA!K421</f>
        <v>2019</v>
      </c>
      <c r="D421" s="1444" t="s">
        <v>4024</v>
      </c>
      <c r="E421" s="17" t="str">
        <f>OBRA!N421</f>
        <v>P.I.D.</v>
      </c>
      <c r="F421" s="1383" t="s">
        <v>3708</v>
      </c>
      <c r="G421" s="497" t="s">
        <v>3728</v>
      </c>
      <c r="H421" s="496" t="s">
        <v>3728</v>
      </c>
      <c r="I421" s="497" t="s">
        <v>3728</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3500</v>
      </c>
      <c r="P421" s="67">
        <f>OBRA!T421</f>
        <v>43783</v>
      </c>
      <c r="Q421" s="79">
        <f>OBRA!S421</f>
        <v>875313.77</v>
      </c>
      <c r="R421" s="5">
        <f>OBRA!U421</f>
        <v>43784</v>
      </c>
      <c r="S421" s="11">
        <f>OBRA!V421</f>
        <v>43829</v>
      </c>
      <c r="T421" s="1381" t="s">
        <v>3819</v>
      </c>
      <c r="U421" s="62" t="s">
        <v>1427</v>
      </c>
      <c r="V421" s="500" t="s">
        <v>3728</v>
      </c>
      <c r="W421" s="589" t="s">
        <v>3728</v>
      </c>
      <c r="X421" s="1007">
        <f>OBRA!AS421</f>
        <v>175062.74</v>
      </c>
      <c r="Y421" s="310"/>
      <c r="Z421" s="310"/>
      <c r="AA421" s="5"/>
      <c r="AB421" s="314"/>
      <c r="AC421" s="318">
        <f>OBRA!BX421</f>
        <v>0</v>
      </c>
      <c r="AD421" s="1"/>
      <c r="AE421" s="353" t="s">
        <v>550</v>
      </c>
    </row>
    <row r="422" spans="1:31" ht="15" hidden="1" customHeight="1">
      <c r="A422" s="22" t="s">
        <v>2209</v>
      </c>
      <c r="B422" s="814" t="str">
        <f>'ADMININSTRACIÓN DIR - OBRA'!B424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'ADMININSTRACIÓN DIR - OBRA'!B425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'ADMININSTRACIÓN DIR - OBRA'!B426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'ADMININSTRACIÓN DIR - OBRA'!B427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'ADMININSTRACIÓN DIR - OBRA'!B428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'ADMININSTRACIÓN DIR - OBRA'!B429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'ADMININSTRACIÓN DIR - OBRA'!B430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'ADMININSTRACIÓN DIR - OBRA'!B431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'ADMININSTRACIÓN DIR - OBRA'!B432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'ADMININSTRACIÓN DIR - OBRA'!B433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'ADMININSTRACIÓN DIR - OBRA'!B434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'ADMININSTRACIÓN DIR - OBRA'!B435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'ADMININSTRACIÓN DIR - OBRA'!B436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'ADMININSTRACIÓN DIR - OBRA'!B437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'ADMININSTRACIÓN DIR - OBRA'!B438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'ADMININSTRACIÓN DIR - OBRA'!B439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'ADMININSTRACIÓN DIR - OBRA'!B440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'ADMININSTRACIÓN DIR - OBRA'!B441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'ADMININSTRACIÓN DIR - OBRA'!B442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'ADMININSTRACIÓN DIR - OBRA'!B443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'ADMININSTRACIÓN DIR - OBRA'!B444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'ADMININSTRACIÓN DIR - OBRA'!B445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'ADMININSTRACIÓN DIR - OBRA'!B446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'ADMININSTRACIÓN DIR - OBRA'!B447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'ADMININSTRACIÓN DIR - OBRA'!B448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'ADMININSTRACIÓN DIR - OBRA'!B449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'ADMININSTRACIÓN DIR - OBRA'!B450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'ADMININSTRACIÓN DIR - OBRA'!B451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'ADMININSTRACIÓN DIR - OBRA'!B452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'ADMININSTRACIÓN DIR - OBRA'!B453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'ADMININSTRACIÓN DIR - OBRA'!B454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'ADMININSTRACIÓN DIR - OBRA'!B455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'ADMININSTRACIÓN DIR - OBRA'!B456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'ADMININSTRACIÓN DIR - OBRA'!B457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'ADMININSTRACIÓN DIR - OBRA'!B458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3025</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'ADMININSTRACIÓN DIR - OBRA'!B459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3026</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'ADMININSTRACIÓN DIR - OBRA'!B461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3027</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'ADMININSTRACIÓN DIR - OBRA'!B462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3028</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'ADMININSTRACIÓN DIR - OBRA'!B463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3030</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'ADMININSTRACIÓN DIR - OBRA'!B464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3031</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'ADMININSTRACIÓN DIR - OBRA'!B465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3032</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'ADMININSTRACIÓN DIR - OBRA'!B466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3033</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'ADMININSTRACIÓN DIR - OBRA'!B467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'ADMININSTRACIÓN DIR - OBRA'!B468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'ADMININSTRACIÓN DIR - OBRA'!B469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'ADMININSTRACIÓN DIR - OBRA'!B470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'ADMININSTRACIÓN DIR - OBRA'!B471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'ADMININSTRACIÓN DIR - OBRA'!B472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'ADMININSTRACIÓN DIR - OBRA'!B473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'ADMININSTRACIÓN DIR - OBRA'!B474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'ADMININSTRACIÓN DIR - OBRA'!B475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'ADMININSTRACIÓN DIR - OBRA'!B476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'ADMININSTRACIÓN DIR - OBRA'!B477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'ADMININSTRACIÓN DIR - OBRA'!B478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'ADMININSTRACIÓN DIR - OBRA'!B479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'ADMININSTRACIÓN DIR - OBRA'!B480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'ADMININSTRACIÓN DIR - OBRA'!B481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'ADMININSTRACIÓN DIR - OBRA'!B482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'ADMININSTRACIÓN DIR - OBRA'!B483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'ADMININSTRACIÓN DIR - OBRA'!B484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'ADMININSTRACIÓN DIR - OBRA'!B485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'ADMININSTRACIÓN DIR - OBRA'!B486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'ADMININSTRACIÓN DIR - OBRA'!B487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'ADMININSTRACIÓN DIR - OBRA'!B488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'ADMININSTRACIÓN DIR - OBRA'!B489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'ADMININSTRACIÓN DIR - OBRA'!B490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'ADMININSTRACIÓN DIR - OBRA'!B491</f>
        <v>2018-2021</v>
      </c>
      <c r="C488" s="16">
        <f>OBRA!K488</f>
        <v>2020</v>
      </c>
      <c r="D488" s="1444"/>
      <c r="E488" s="17" t="str">
        <f>OBRA!N488</f>
        <v>CUENTA CORRIENTE</v>
      </c>
      <c r="F488" s="479" t="s">
        <v>1427</v>
      </c>
      <c r="G488" s="497" t="s">
        <v>3513</v>
      </c>
      <c r="H488" s="496" t="s">
        <v>3513</v>
      </c>
      <c r="I488" s="497" t="s">
        <v>3513</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3505</v>
      </c>
      <c r="P488" s="6">
        <f>OBRA!T488</f>
        <v>43894</v>
      </c>
      <c r="Q488" s="4">
        <f>OBRA!S488</f>
        <v>156714.98000000001</v>
      </c>
      <c r="R488" s="5">
        <f>OBRA!U488</f>
        <v>43894</v>
      </c>
      <c r="S488" s="11">
        <f>OBRA!V488</f>
        <v>43960</v>
      </c>
      <c r="T488" s="208" t="s">
        <v>3818</v>
      </c>
      <c r="U488" s="62" t="s">
        <v>1427</v>
      </c>
      <c r="V488" s="500" t="s">
        <v>3513</v>
      </c>
      <c r="W488" s="1255"/>
      <c r="X488" s="1005">
        <f>OBRA!AS488</f>
        <v>31343</v>
      </c>
      <c r="Y488" s="310"/>
      <c r="Z488" s="310"/>
      <c r="AA488" s="5"/>
      <c r="AB488" s="314"/>
      <c r="AC488" s="318">
        <f>OBRA!BX488</f>
        <v>0</v>
      </c>
      <c r="AD488" s="1305" t="s">
        <v>3667</v>
      </c>
      <c r="AE488" s="353"/>
    </row>
    <row r="489" spans="1:31" ht="102.75" hidden="1" customHeight="1">
      <c r="A489" s="22" t="s">
        <v>2209</v>
      </c>
      <c r="B489" s="814" t="str">
        <f>'ADMININSTRACIÓN DIR - OBRA'!B492</f>
        <v>2018-2021</v>
      </c>
      <c r="C489" s="16">
        <f>OBRA!K489</f>
        <v>2020</v>
      </c>
      <c r="D489" s="1444"/>
      <c r="E489" s="17" t="str">
        <f>OBRA!N489</f>
        <v>RAMO 33</v>
      </c>
      <c r="F489" s="479" t="s">
        <v>1427</v>
      </c>
      <c r="G489" s="497" t="s">
        <v>3514</v>
      </c>
      <c r="H489" s="496" t="s">
        <v>3514</v>
      </c>
      <c r="I489" s="497" t="s">
        <v>3514</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3505</v>
      </c>
      <c r="P489" s="67">
        <f>OBRA!T489</f>
        <v>43936</v>
      </c>
      <c r="Q489" s="79">
        <f>OBRA!S489</f>
        <v>654632.78</v>
      </c>
      <c r="R489" s="5">
        <f>OBRA!U489</f>
        <v>43937</v>
      </c>
      <c r="S489" s="11">
        <f>OBRA!V489</f>
        <v>43958</v>
      </c>
      <c r="T489" s="1381" t="s">
        <v>3819</v>
      </c>
      <c r="U489" s="62" t="s">
        <v>1427</v>
      </c>
      <c r="V489" s="500" t="s">
        <v>3514</v>
      </c>
      <c r="W489" s="589" t="s">
        <v>3514</v>
      </c>
      <c r="X489" s="1007">
        <f>OBRA!AS489</f>
        <v>130926.54</v>
      </c>
      <c r="Y489" s="310"/>
      <c r="Z489" s="310"/>
      <c r="AA489" s="5"/>
      <c r="AB489" s="314"/>
      <c r="AC489" s="318">
        <f>OBRA!BX489</f>
        <v>0</v>
      </c>
      <c r="AD489" s="1"/>
      <c r="AE489" s="353" t="s">
        <v>550</v>
      </c>
    </row>
    <row r="490" spans="1:31" ht="93.75" hidden="1" customHeight="1">
      <c r="A490" s="22" t="s">
        <v>2209</v>
      </c>
      <c r="B490" s="814" t="str">
        <f>'ADMININSTRACIÓN DIR - OBRA'!B493</f>
        <v>2018-2021</v>
      </c>
      <c r="C490" s="16">
        <f>OBRA!K490</f>
        <v>2020</v>
      </c>
      <c r="D490" s="1444"/>
      <c r="E490" s="17" t="str">
        <f>OBRA!N490</f>
        <v>RAMO 33</v>
      </c>
      <c r="F490" s="479" t="s">
        <v>1427</v>
      </c>
      <c r="G490" s="497" t="s">
        <v>3520</v>
      </c>
      <c r="H490" s="496" t="s">
        <v>3520</v>
      </c>
      <c r="I490" s="497" t="s">
        <v>3520</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3505</v>
      </c>
      <c r="P490" s="67">
        <f>OBRA!T490</f>
        <v>43948</v>
      </c>
      <c r="Q490" s="79">
        <f>OBRA!S490</f>
        <v>248927.96</v>
      </c>
      <c r="R490" s="5">
        <f>OBRA!U490</f>
        <v>43949</v>
      </c>
      <c r="S490" s="11">
        <f>OBRA!V490</f>
        <v>43980</v>
      </c>
      <c r="T490" s="1381" t="s">
        <v>3819</v>
      </c>
      <c r="U490" s="62" t="s">
        <v>1427</v>
      </c>
      <c r="V490" s="500" t="s">
        <v>3520</v>
      </c>
      <c r="W490" s="589" t="s">
        <v>3520</v>
      </c>
      <c r="X490" s="1007">
        <f>OBRA!AS490</f>
        <v>188222.83000000002</v>
      </c>
      <c r="Y490" s="310"/>
      <c r="Z490" s="310"/>
      <c r="AA490" s="5"/>
      <c r="AB490" s="314"/>
      <c r="AC490" s="318">
        <f>OBRA!BX490</f>
        <v>0</v>
      </c>
      <c r="AD490" s="1"/>
      <c r="AE490" s="353" t="s">
        <v>550</v>
      </c>
    </row>
    <row r="491" spans="1:31" ht="90.75" hidden="1" customHeight="1">
      <c r="A491" s="22" t="s">
        <v>2209</v>
      </c>
      <c r="B491" s="814" t="str">
        <f>'ADMININSTRACIÓN DIR - OBRA'!B494</f>
        <v>2018-2021</v>
      </c>
      <c r="C491" s="16">
        <f>OBRA!K491</f>
        <v>2020</v>
      </c>
      <c r="D491" s="1444"/>
      <c r="E491" s="17" t="str">
        <f>OBRA!N491</f>
        <v>RAMO 33</v>
      </c>
      <c r="F491" s="479" t="s">
        <v>1427</v>
      </c>
      <c r="G491" s="497" t="s">
        <v>3518</v>
      </c>
      <c r="H491" s="496" t="s">
        <v>3518</v>
      </c>
      <c r="I491" s="497" t="s">
        <v>3518</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3505</v>
      </c>
      <c r="P491" s="6">
        <f>OBRA!T491</f>
        <v>43951</v>
      </c>
      <c r="Q491" s="4">
        <f>OBRA!S491</f>
        <v>1010980.5</v>
      </c>
      <c r="R491" s="5">
        <f>OBRA!U491</f>
        <v>43962</v>
      </c>
      <c r="S491" s="11">
        <f>OBRA!V491</f>
        <v>44054</v>
      </c>
      <c r="T491" s="1381" t="s">
        <v>3819</v>
      </c>
      <c r="U491" s="378" t="s">
        <v>1427</v>
      </c>
      <c r="V491" s="538"/>
      <c r="W491" s="438"/>
      <c r="X491" s="1007">
        <f>OBRA!AS491</f>
        <v>454941.22</v>
      </c>
      <c r="Y491" s="310"/>
      <c r="Z491" s="310"/>
      <c r="AA491" s="5"/>
      <c r="AB491" s="314"/>
      <c r="AC491" s="318">
        <f>OBRA!BX491</f>
        <v>0</v>
      </c>
      <c r="AD491" s="1305" t="s">
        <v>3667</v>
      </c>
      <c r="AE491" s="353"/>
    </row>
    <row r="492" spans="1:31" ht="86.25" hidden="1" customHeight="1">
      <c r="A492" s="22" t="s">
        <v>2209</v>
      </c>
      <c r="B492" s="814" t="str">
        <f>'ADMININSTRACIÓN DIR - OBRA'!B495</f>
        <v>2018-2021</v>
      </c>
      <c r="C492" s="16">
        <f>OBRA!K492</f>
        <v>2020</v>
      </c>
      <c r="D492" s="1444"/>
      <c r="E492" s="17" t="str">
        <f>OBRA!N492</f>
        <v>RAMO 33</v>
      </c>
      <c r="F492" s="479" t="s">
        <v>1427</v>
      </c>
      <c r="G492" s="497" t="s">
        <v>3512</v>
      </c>
      <c r="H492" s="527" t="s">
        <v>3512</v>
      </c>
      <c r="I492" s="497" t="s">
        <v>3512</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3505</v>
      </c>
      <c r="P492" s="67">
        <f>OBRA!T492</f>
        <v>43948</v>
      </c>
      <c r="Q492" s="79">
        <f>OBRA!S492</f>
        <v>125624.96000000001</v>
      </c>
      <c r="R492" s="5">
        <f>OBRA!U492</f>
        <v>43949</v>
      </c>
      <c r="S492" s="11">
        <f>OBRA!V492</f>
        <v>43980</v>
      </c>
      <c r="T492" s="1381" t="s">
        <v>3819</v>
      </c>
      <c r="U492" s="62" t="s">
        <v>1427</v>
      </c>
      <c r="V492" s="500" t="s">
        <v>3512</v>
      </c>
      <c r="W492" s="589" t="s">
        <v>3512</v>
      </c>
      <c r="X492" s="1007">
        <f>OBRA!AS492</f>
        <v>25124.98</v>
      </c>
      <c r="Y492" s="310"/>
      <c r="Z492" s="310"/>
      <c r="AA492" s="5"/>
      <c r="AB492" s="314"/>
      <c r="AC492" s="318">
        <f>OBRA!BX492</f>
        <v>0</v>
      </c>
      <c r="AD492" s="1"/>
      <c r="AE492" s="353" t="s">
        <v>550</v>
      </c>
    </row>
    <row r="493" spans="1:31" ht="107.25" hidden="1" customHeight="1">
      <c r="A493" s="22" t="s">
        <v>2209</v>
      </c>
      <c r="B493" s="814" t="str">
        <f>'ADMININSTRACIÓN DIR - OBRA'!B496</f>
        <v>2018-2021</v>
      </c>
      <c r="C493" s="16">
        <f>OBRA!K493</f>
        <v>2020</v>
      </c>
      <c r="D493" s="1444"/>
      <c r="E493" s="17" t="str">
        <f>OBRA!N493</f>
        <v>RAMO 33</v>
      </c>
      <c r="F493" s="479" t="s">
        <v>1427</v>
      </c>
      <c r="G493" s="503" t="s">
        <v>3527</v>
      </c>
      <c r="H493" s="527" t="s">
        <v>3527</v>
      </c>
      <c r="I493" s="503" t="s">
        <v>3527</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3505</v>
      </c>
      <c r="P493" s="67">
        <f>OBRA!T493</f>
        <v>43977</v>
      </c>
      <c r="Q493" s="79">
        <f>OBRA!S493</f>
        <v>965741.4</v>
      </c>
      <c r="R493" s="5">
        <f>OBRA!U493</f>
        <v>43984</v>
      </c>
      <c r="S493" s="11">
        <f>OBRA!V493</f>
        <v>44040</v>
      </c>
      <c r="T493" s="1381" t="s">
        <v>3819</v>
      </c>
      <c r="U493" s="62" t="s">
        <v>1427</v>
      </c>
      <c r="V493" s="500" t="s">
        <v>3527</v>
      </c>
      <c r="W493" s="589" t="s">
        <v>3527</v>
      </c>
      <c r="X493" s="1007">
        <f>OBRA!AS493</f>
        <v>434583.63</v>
      </c>
      <c r="Y493" s="310"/>
      <c r="Z493" s="310"/>
      <c r="AA493" s="5"/>
      <c r="AB493" s="314"/>
      <c r="AC493" s="318">
        <f>OBRA!BX493</f>
        <v>0</v>
      </c>
      <c r="AD493" s="1"/>
      <c r="AE493" s="353" t="s">
        <v>550</v>
      </c>
    </row>
    <row r="494" spans="1:31" ht="112.5" hidden="1" customHeight="1">
      <c r="A494" s="22" t="s">
        <v>2209</v>
      </c>
      <c r="B494" s="814" t="str">
        <f>'ADMININSTRACIÓN DIR - OBRA'!B497</f>
        <v>2018-2021</v>
      </c>
      <c r="C494" s="16">
        <f>OBRA!K494</f>
        <v>2020</v>
      </c>
      <c r="D494" s="1444"/>
      <c r="E494" s="17" t="str">
        <f>OBRA!N494</f>
        <v>RAMO 33</v>
      </c>
      <c r="F494" s="479" t="s">
        <v>1427</v>
      </c>
      <c r="G494" s="503" t="s">
        <v>3528</v>
      </c>
      <c r="H494" s="527" t="s">
        <v>3528</v>
      </c>
      <c r="I494" s="503" t="s">
        <v>3528</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3505</v>
      </c>
      <c r="P494" s="67">
        <f>OBRA!T494</f>
        <v>43977</v>
      </c>
      <c r="Q494" s="79">
        <f>OBRA!S494</f>
        <v>334158.86</v>
      </c>
      <c r="R494" s="5">
        <f>OBRA!U494</f>
        <v>43984</v>
      </c>
      <c r="S494" s="11">
        <f>OBRA!V494</f>
        <v>44040</v>
      </c>
      <c r="T494" s="1381" t="s">
        <v>3819</v>
      </c>
      <c r="U494" s="62" t="s">
        <v>1427</v>
      </c>
      <c r="V494" s="500" t="s">
        <v>3528</v>
      </c>
      <c r="W494" s="589" t="s">
        <v>3528</v>
      </c>
      <c r="X494" s="1007">
        <f>OBRA!AS494</f>
        <v>150371.5</v>
      </c>
      <c r="Y494" s="310"/>
      <c r="Z494" s="310"/>
      <c r="AA494" s="5"/>
      <c r="AB494" s="314"/>
      <c r="AC494" s="318">
        <f>OBRA!BX494</f>
        <v>0</v>
      </c>
      <c r="AD494" s="1"/>
      <c r="AE494" s="353" t="s">
        <v>550</v>
      </c>
    </row>
    <row r="495" spans="1:31" ht="105" hidden="1" customHeight="1">
      <c r="A495" s="22" t="s">
        <v>2209</v>
      </c>
      <c r="B495" s="814" t="str">
        <f>'ADMININSTRACIÓN DIR - OBRA'!B498</f>
        <v>2018-2021</v>
      </c>
      <c r="C495" s="16">
        <f>OBRA!K495</f>
        <v>2020</v>
      </c>
      <c r="D495" s="1444"/>
      <c r="E495" s="17" t="str">
        <f>OBRA!N495</f>
        <v>RAMO 33</v>
      </c>
      <c r="F495" s="479" t="s">
        <v>1427</v>
      </c>
      <c r="G495" s="503" t="s">
        <v>3659</v>
      </c>
      <c r="H495" s="527" t="s">
        <v>3659</v>
      </c>
      <c r="I495" s="503" t="s">
        <v>3659</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3505</v>
      </c>
      <c r="P495" s="6">
        <f>OBRA!T495</f>
        <v>43977</v>
      </c>
      <c r="Q495" s="4">
        <f>OBRA!S495</f>
        <v>755011.1</v>
      </c>
      <c r="R495" s="5">
        <f>OBRA!U495</f>
        <v>43984</v>
      </c>
      <c r="S495" s="11">
        <f>OBRA!V495</f>
        <v>44037</v>
      </c>
      <c r="T495" s="1381" t="s">
        <v>3819</v>
      </c>
      <c r="U495" s="378" t="s">
        <v>1427</v>
      </c>
      <c r="V495" s="500" t="s">
        <v>3659</v>
      </c>
      <c r="W495" s="589" t="s">
        <v>3659</v>
      </c>
      <c r="X495" s="1006">
        <f>OBRA!AS495</f>
        <v>151002.22</v>
      </c>
      <c r="Y495" s="310"/>
      <c r="Z495" s="310"/>
      <c r="AA495" s="5"/>
      <c r="AB495" s="314"/>
      <c r="AC495" s="318">
        <f>OBRA!BX495</f>
        <v>0</v>
      </c>
      <c r="AD495" s="1385" t="s">
        <v>3828</v>
      </c>
      <c r="AE495" s="353"/>
    </row>
    <row r="496" spans="1:31" ht="84.75" hidden="1" customHeight="1">
      <c r="A496" s="22" t="s">
        <v>2209</v>
      </c>
      <c r="B496" s="814" t="str">
        <f>'ADMININSTRACIÓN DIR - OBRA'!B499</f>
        <v>2018-2021</v>
      </c>
      <c r="C496" s="16">
        <f>OBRA!K496</f>
        <v>2020</v>
      </c>
      <c r="D496" s="1444"/>
      <c r="E496" s="17" t="str">
        <f>OBRA!N496</f>
        <v>RAMO 33</v>
      </c>
      <c r="F496" s="479" t="s">
        <v>1427</v>
      </c>
      <c r="G496" s="503" t="s">
        <v>3521</v>
      </c>
      <c r="H496" s="527" t="s">
        <v>3521</v>
      </c>
      <c r="I496" s="503" t="s">
        <v>3521</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3505</v>
      </c>
      <c r="P496" s="6">
        <f>OBRA!T496</f>
        <v>44005</v>
      </c>
      <c r="Q496" s="4">
        <f>OBRA!S496</f>
        <v>317000</v>
      </c>
      <c r="R496" s="5">
        <f>OBRA!U496</f>
        <v>44032</v>
      </c>
      <c r="S496" s="11">
        <f>OBRA!V496</f>
        <v>44063</v>
      </c>
      <c r="T496" s="1381" t="s">
        <v>3819</v>
      </c>
      <c r="U496" s="62" t="s">
        <v>1427</v>
      </c>
      <c r="V496" s="500" t="s">
        <v>3521</v>
      </c>
      <c r="W496" s="589" t="s">
        <v>3521</v>
      </c>
      <c r="X496" s="1007">
        <f>OBRA!AS496</f>
        <v>153450</v>
      </c>
      <c r="Y496" s="310"/>
      <c r="Z496" s="310"/>
      <c r="AA496" s="5"/>
      <c r="AB496" s="314"/>
      <c r="AC496" s="318">
        <f>OBRA!BX496</f>
        <v>0</v>
      </c>
      <c r="AD496" s="1"/>
      <c r="AE496" s="353" t="s">
        <v>550</v>
      </c>
    </row>
    <row r="497" spans="1:31" ht="85.5" hidden="1" customHeight="1">
      <c r="A497" s="22" t="s">
        <v>2209</v>
      </c>
      <c r="B497" s="814" t="str">
        <f>'ADMININSTRACIÓN DIR - OBRA'!B500</f>
        <v>2018-2021</v>
      </c>
      <c r="C497" s="16">
        <f>OBRA!K497</f>
        <v>2020</v>
      </c>
      <c r="D497" s="1444"/>
      <c r="E497" s="17" t="str">
        <f>OBRA!N497</f>
        <v>RAMO 33</v>
      </c>
      <c r="F497" s="479" t="s">
        <v>1427</v>
      </c>
      <c r="G497" s="497" t="s">
        <v>3515</v>
      </c>
      <c r="H497" s="496" t="s">
        <v>3515</v>
      </c>
      <c r="I497" s="497" t="s">
        <v>3590</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3505</v>
      </c>
      <c r="P497" s="6">
        <f>OBRA!T497</f>
        <v>43974</v>
      </c>
      <c r="Q497" s="4">
        <f>OBRA!S497</f>
        <v>239360.13</v>
      </c>
      <c r="R497" s="5">
        <f>OBRA!U497</f>
        <v>43976</v>
      </c>
      <c r="S497" s="11">
        <f>OBRA!V497</f>
        <v>43983</v>
      </c>
      <c r="T497" s="1381" t="s">
        <v>3819</v>
      </c>
      <c r="U497" s="378" t="s">
        <v>1427</v>
      </c>
      <c r="V497" s="500" t="s">
        <v>3590</v>
      </c>
      <c r="W497" s="589" t="s">
        <v>3590</v>
      </c>
      <c r="X497" s="1007">
        <f>OBRA!AS497</f>
        <v>47872.02</v>
      </c>
      <c r="Y497" s="310"/>
      <c r="Z497" s="310"/>
      <c r="AA497" s="5"/>
      <c r="AB497" s="314"/>
      <c r="AC497" s="318">
        <f>OBRA!BX497</f>
        <v>0</v>
      </c>
      <c r="AD497" s="1"/>
      <c r="AE497" s="353" t="s">
        <v>550</v>
      </c>
    </row>
    <row r="498" spans="1:31" ht="88.5" hidden="1" customHeight="1">
      <c r="A498" s="22" t="s">
        <v>2209</v>
      </c>
      <c r="B498" s="814" t="str">
        <f>'ADMININSTRACIÓN DIR - OBRA'!B501</f>
        <v>2018-2021</v>
      </c>
      <c r="C498" s="16">
        <f>OBRA!K498</f>
        <v>2020</v>
      </c>
      <c r="D498" s="1444"/>
      <c r="E498" s="17" t="str">
        <f>OBRA!N498</f>
        <v>CUENTA CORRIENTE</v>
      </c>
      <c r="F498" s="479" t="s">
        <v>1427</v>
      </c>
      <c r="G498" s="497" t="s">
        <v>3516</v>
      </c>
      <c r="H498" s="496" t="s">
        <v>3516</v>
      </c>
      <c r="I498" s="497" t="s">
        <v>3591</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3506</v>
      </c>
      <c r="P498" s="6">
        <f>OBRA!T498</f>
        <v>43978</v>
      </c>
      <c r="Q498" s="4">
        <f>OBRA!S498</f>
        <v>410553.76</v>
      </c>
      <c r="R498" s="5">
        <f>OBRA!U498</f>
        <v>43952</v>
      </c>
      <c r="S498" s="11">
        <f>OBRA!V498</f>
        <v>43987</v>
      </c>
      <c r="T498" s="208" t="s">
        <v>3818</v>
      </c>
      <c r="U498" s="378" t="s">
        <v>1427</v>
      </c>
      <c r="V498" s="500" t="s">
        <v>3591</v>
      </c>
      <c r="W498" s="589" t="s">
        <v>3591</v>
      </c>
      <c r="X498" s="1007">
        <f>OBRA!AS498</f>
        <v>82110.740000000005</v>
      </c>
      <c r="Y498" s="310"/>
      <c r="Z498" s="310"/>
      <c r="AA498" s="5"/>
      <c r="AB498" s="314"/>
      <c r="AC498" s="318">
        <f>OBRA!BX498</f>
        <v>0</v>
      </c>
      <c r="AD498" s="1"/>
      <c r="AE498" s="353" t="s">
        <v>550</v>
      </c>
    </row>
    <row r="499" spans="1:31" ht="110.25" hidden="1" customHeight="1">
      <c r="A499" s="22" t="s">
        <v>2209</v>
      </c>
      <c r="B499" s="814" t="str">
        <f>'ADMININSTRACIÓN DIR - OBRA'!B502</f>
        <v>2018-2021</v>
      </c>
      <c r="C499" s="16">
        <f>OBRA!K499</f>
        <v>2020</v>
      </c>
      <c r="D499" s="1444"/>
      <c r="E499" s="17" t="str">
        <f>OBRA!N499</f>
        <v>RAMO 33</v>
      </c>
      <c r="F499" s="479" t="s">
        <v>1427</v>
      </c>
      <c r="G499" s="497" t="s">
        <v>3661</v>
      </c>
      <c r="H499" s="496" t="s">
        <v>3529</v>
      </c>
      <c r="I499" s="497" t="s">
        <v>3529</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3506</v>
      </c>
      <c r="P499" s="67">
        <f>OBRA!T499</f>
        <v>43987</v>
      </c>
      <c r="Q499" s="4">
        <f>OBRA!S499</f>
        <v>1306545.6299999999</v>
      </c>
      <c r="R499" s="5">
        <f>OBRA!U499</f>
        <v>43990</v>
      </c>
      <c r="S499" s="11">
        <f>OBRA!V499</f>
        <v>44057</v>
      </c>
      <c r="T499" s="1381" t="s">
        <v>3819</v>
      </c>
      <c r="U499" s="378" t="s">
        <v>1427</v>
      </c>
      <c r="V499" s="500" t="s">
        <v>3661</v>
      </c>
      <c r="W499" s="589" t="s">
        <v>3661</v>
      </c>
      <c r="X499" s="1007">
        <f>OBRA!AS499</f>
        <v>391963.68</v>
      </c>
      <c r="Y499" s="310"/>
      <c r="Z499" s="310"/>
      <c r="AA499" s="5"/>
      <c r="AB499" s="314"/>
      <c r="AC499" s="318">
        <f>OBRA!BX499</f>
        <v>0</v>
      </c>
      <c r="AD499" s="1"/>
      <c r="AE499" s="353" t="s">
        <v>550</v>
      </c>
    </row>
    <row r="500" spans="1:31" ht="113.25" hidden="1" customHeight="1">
      <c r="A500" s="22" t="s">
        <v>2209</v>
      </c>
      <c r="B500" s="814" t="str">
        <f>'ADMININSTRACIÓN DIR - OBRA'!B503</f>
        <v>2018-2021</v>
      </c>
      <c r="C500" s="16">
        <f>OBRA!K500</f>
        <v>2020</v>
      </c>
      <c r="D500" s="1444"/>
      <c r="E500" s="17" t="str">
        <f>OBRA!N500</f>
        <v>RAMO 33</v>
      </c>
      <c r="F500" s="479" t="s">
        <v>1427</v>
      </c>
      <c r="G500" s="503" t="s">
        <v>3530</v>
      </c>
      <c r="H500" s="527" t="s">
        <v>3530</v>
      </c>
      <c r="I500" s="503" t="s">
        <v>3530</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3506</v>
      </c>
      <c r="P500" s="67">
        <f>OBRA!T500</f>
        <v>43994</v>
      </c>
      <c r="Q500" s="4">
        <f>OBRA!S500</f>
        <v>281826.5</v>
      </c>
      <c r="R500" s="5">
        <f>OBRA!U500</f>
        <v>43997</v>
      </c>
      <c r="S500" s="11">
        <f>OBRA!V500</f>
        <v>44011</v>
      </c>
      <c r="T500" s="1381" t="s">
        <v>3819</v>
      </c>
      <c r="U500" s="378" t="s">
        <v>1427</v>
      </c>
      <c r="V500" s="500" t="s">
        <v>3530</v>
      </c>
      <c r="W500" s="589" t="s">
        <v>3530</v>
      </c>
      <c r="X500" s="1007">
        <f>OBRA!AS500</f>
        <v>56365.3</v>
      </c>
      <c r="Y500" s="310"/>
      <c r="Z500" s="310"/>
      <c r="AA500" s="5"/>
      <c r="AB500" s="314"/>
      <c r="AC500" s="318">
        <f>OBRA!BX500</f>
        <v>0</v>
      </c>
      <c r="AD500" s="1"/>
      <c r="AE500" s="353" t="s">
        <v>550</v>
      </c>
    </row>
    <row r="501" spans="1:31" ht="120" hidden="1" customHeight="1">
      <c r="A501" s="22" t="s">
        <v>2209</v>
      </c>
      <c r="B501" s="814" t="str">
        <f>'ADMININSTRACIÓN DIR - OBRA'!B504</f>
        <v>2018-2021</v>
      </c>
      <c r="C501" s="16">
        <f>OBRA!K501</f>
        <v>2020</v>
      </c>
      <c r="D501" s="1444"/>
      <c r="E501" s="17" t="str">
        <f>OBRA!N501</f>
        <v>RAMO 33</v>
      </c>
      <c r="F501" s="479" t="s">
        <v>1427</v>
      </c>
      <c r="G501" s="497" t="s">
        <v>3523</v>
      </c>
      <c r="H501" s="527" t="s">
        <v>3662</v>
      </c>
      <c r="I501" s="503" t="s">
        <v>3523</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3506</v>
      </c>
      <c r="P501" s="67">
        <f>OBRA!T501</f>
        <v>43994</v>
      </c>
      <c r="Q501" s="79">
        <f>OBRA!S501</f>
        <v>241381.67</v>
      </c>
      <c r="R501" s="5">
        <f>OBRA!U501</f>
        <v>44000</v>
      </c>
      <c r="S501" s="11">
        <f>OBRA!V501</f>
        <v>44030</v>
      </c>
      <c r="T501" s="1381" t="s">
        <v>3819</v>
      </c>
      <c r="U501" s="62" t="s">
        <v>1427</v>
      </c>
      <c r="V501" s="500" t="s">
        <v>3523</v>
      </c>
      <c r="W501" s="589" t="s">
        <v>3523</v>
      </c>
      <c r="X501" s="1007">
        <f>OBRA!AS501</f>
        <v>48276.2</v>
      </c>
      <c r="Y501" s="310"/>
      <c r="Z501" s="310"/>
      <c r="AA501" s="5"/>
      <c r="AB501" s="314"/>
      <c r="AC501" s="318">
        <f>OBRA!BX501</f>
        <v>0</v>
      </c>
      <c r="AD501" s="1"/>
      <c r="AE501" s="353" t="s">
        <v>550</v>
      </c>
    </row>
    <row r="502" spans="1:31" ht="106.5" hidden="1" customHeight="1">
      <c r="A502" s="22" t="s">
        <v>2209</v>
      </c>
      <c r="B502" s="814" t="str">
        <f>'ADMININSTRACIÓN DIR - OBRA'!B505</f>
        <v>2018-2021</v>
      </c>
      <c r="C502" s="16">
        <f>OBRA!K502</f>
        <v>2020</v>
      </c>
      <c r="D502" s="1444"/>
      <c r="E502" s="17" t="str">
        <f>OBRA!N502</f>
        <v>CUENTA CORRIENTE</v>
      </c>
      <c r="F502" s="1302" t="s">
        <v>1427</v>
      </c>
      <c r="G502" s="497" t="s">
        <v>3524</v>
      </c>
      <c r="H502" s="496" t="s">
        <v>3663</v>
      </c>
      <c r="I502" s="497" t="s">
        <v>3663</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3506</v>
      </c>
      <c r="P502" s="1303">
        <f>OBRA!T502</f>
        <v>44012</v>
      </c>
      <c r="Q502" s="656">
        <f>OBRA!S502</f>
        <v>232396.73</v>
      </c>
      <c r="R502" s="239">
        <f>OBRA!U502</f>
        <v>44046</v>
      </c>
      <c r="S502" s="206">
        <f>OBRA!V502</f>
        <v>44099</v>
      </c>
      <c r="T502" s="208" t="s">
        <v>3818</v>
      </c>
      <c r="U502" s="207" t="s">
        <v>1427</v>
      </c>
      <c r="V502" s="500" t="s">
        <v>3663</v>
      </c>
      <c r="W502" s="589" t="s">
        <v>3663</v>
      </c>
      <c r="X502" s="1007">
        <f>OBRA!AS502</f>
        <v>48410.119999999995</v>
      </c>
      <c r="Y502" s="310"/>
      <c r="Z502" s="310"/>
      <c r="AA502" s="5"/>
      <c r="AB502" s="314"/>
      <c r="AC502" s="318">
        <f>OBRA!BX502</f>
        <v>0</v>
      </c>
      <c r="AD502" s="1"/>
      <c r="AE502" s="353" t="s">
        <v>550</v>
      </c>
    </row>
    <row r="503" spans="1:31" ht="91.5" hidden="1" customHeight="1">
      <c r="A503" s="22" t="s">
        <v>2209</v>
      </c>
      <c r="B503" s="814" t="str">
        <f>'ADMININSTRACIÓN DIR - OBRA'!B506</f>
        <v>2018-2021</v>
      </c>
      <c r="C503" s="16">
        <f>OBRA!K503</f>
        <v>2020</v>
      </c>
      <c r="D503" s="1444"/>
      <c r="E503" s="17" t="str">
        <f>OBRA!N503</f>
        <v>CUENTA CORRIENTE</v>
      </c>
      <c r="F503" s="479" t="s">
        <v>1427</v>
      </c>
      <c r="G503" s="497" t="s">
        <v>3599</v>
      </c>
      <c r="H503" s="496" t="s">
        <v>3599</v>
      </c>
      <c r="I503" s="497" t="s">
        <v>3599</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3506</v>
      </c>
      <c r="P503" s="67">
        <f>OBRA!T503</f>
        <v>44007</v>
      </c>
      <c r="Q503" s="79">
        <f>OBRA!S503</f>
        <v>302749.5</v>
      </c>
      <c r="R503" s="5">
        <f>OBRA!U503</f>
        <v>44008</v>
      </c>
      <c r="S503" s="11">
        <f>OBRA!V503</f>
        <v>44074</v>
      </c>
      <c r="T503" s="208" t="s">
        <v>3818</v>
      </c>
      <c r="U503" s="207" t="s">
        <v>1427</v>
      </c>
      <c r="V503" s="500" t="s">
        <v>3599</v>
      </c>
      <c r="W503" s="589" t="s">
        <v>3599</v>
      </c>
      <c r="X503" s="1007">
        <f>OBRA!AS503</f>
        <v>60549</v>
      </c>
      <c r="Y503" s="310"/>
      <c r="Z503" s="310"/>
      <c r="AA503" s="5"/>
      <c r="AB503" s="314"/>
      <c r="AC503" s="318">
        <f>OBRA!BX503</f>
        <v>0</v>
      </c>
      <c r="AD503" s="1"/>
      <c r="AE503" s="353" t="s">
        <v>550</v>
      </c>
    </row>
    <row r="504" spans="1:31" ht="102" hidden="1" customHeight="1">
      <c r="A504" s="22" t="s">
        <v>2209</v>
      </c>
      <c r="B504" s="814" t="str">
        <f>'ADMININSTRACIÓN DIR - OBRA'!B507</f>
        <v>2018-2021</v>
      </c>
      <c r="C504" s="16">
        <f>OBRA!K504</f>
        <v>2020</v>
      </c>
      <c r="D504" s="1444"/>
      <c r="E504" s="17" t="str">
        <f>OBRA!N504</f>
        <v>CUENTA CORRIENTE</v>
      </c>
      <c r="F504" s="479" t="s">
        <v>1427</v>
      </c>
      <c r="G504" s="497" t="s">
        <v>3600</v>
      </c>
      <c r="H504" s="496" t="s">
        <v>3600</v>
      </c>
      <c r="I504" s="497" t="s">
        <v>3600</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3506</v>
      </c>
      <c r="P504" s="6">
        <f>OBRA!T504</f>
        <v>44012</v>
      </c>
      <c r="Q504" s="4">
        <f>OBRA!S504</f>
        <v>423536.77</v>
      </c>
      <c r="R504" s="5">
        <f>OBRA!U504</f>
        <v>44018</v>
      </c>
      <c r="S504" s="11">
        <f>OBRA!V504</f>
        <v>44104</v>
      </c>
      <c r="T504" s="208" t="s">
        <v>3818</v>
      </c>
      <c r="U504" s="378" t="s">
        <v>1427</v>
      </c>
      <c r="V504" s="500" t="s">
        <v>3600</v>
      </c>
      <c r="W504" s="589" t="s">
        <v>3600</v>
      </c>
      <c r="X504" s="1007">
        <f>OBRA!AS504</f>
        <v>84707.34</v>
      </c>
      <c r="Y504" s="310"/>
      <c r="Z504" s="310"/>
      <c r="AA504" s="5"/>
      <c r="AB504" s="314"/>
      <c r="AC504" s="318">
        <f>OBRA!BX504</f>
        <v>0</v>
      </c>
      <c r="AD504" s="1"/>
      <c r="AE504" s="353" t="s">
        <v>550</v>
      </c>
    </row>
    <row r="505" spans="1:31" ht="76.5" hidden="1" customHeight="1">
      <c r="A505" s="22" t="s">
        <v>2209</v>
      </c>
      <c r="B505" s="814" t="str">
        <f>'ADMININSTRACIÓN DIR - OBRA'!B508</f>
        <v>2018-2021</v>
      </c>
      <c r="C505" s="16">
        <f>OBRA!K505</f>
        <v>2020</v>
      </c>
      <c r="D505" s="1444"/>
      <c r="E505" s="17" t="str">
        <f>OBRA!N505</f>
        <v>RAMO 33</v>
      </c>
      <c r="F505" s="479" t="s">
        <v>1427</v>
      </c>
      <c r="G505" s="163"/>
      <c r="H505" s="496" t="s">
        <v>3601</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3506</v>
      </c>
      <c r="P505" s="6">
        <f>OBRA!T505</f>
        <v>44019</v>
      </c>
      <c r="Q505" s="4">
        <f>OBRA!S505</f>
        <v>174784.71</v>
      </c>
      <c r="R505" s="5">
        <f>OBRA!U505</f>
        <v>44032</v>
      </c>
      <c r="S505" s="11">
        <f>OBRA!V505</f>
        <v>44051</v>
      </c>
      <c r="T505" s="1381" t="s">
        <v>3819</v>
      </c>
      <c r="U505" s="378" t="s">
        <v>1427</v>
      </c>
      <c r="V505" s="538"/>
      <c r="W505" s="589" t="s">
        <v>3601</v>
      </c>
      <c r="X505" s="1007">
        <f>OBRA!AS505</f>
        <v>61174.65</v>
      </c>
      <c r="Y505" s="310"/>
      <c r="Z505" s="310"/>
      <c r="AA505" s="5"/>
      <c r="AB505" s="314"/>
      <c r="AC505" s="318">
        <f>OBRA!BX505</f>
        <v>0</v>
      </c>
      <c r="AD505" s="1305" t="s">
        <v>3667</v>
      </c>
      <c r="AE505" s="353"/>
    </row>
    <row r="506" spans="1:31" ht="78" hidden="1" customHeight="1">
      <c r="A506" s="22" t="s">
        <v>2209</v>
      </c>
      <c r="B506" s="814" t="str">
        <f>'ADMININSTRACIÓN DIR - OBRA'!B509</f>
        <v>2018-2021</v>
      </c>
      <c r="C506" s="16">
        <f>OBRA!K506</f>
        <v>2020</v>
      </c>
      <c r="D506" s="1444"/>
      <c r="E506" s="17" t="str">
        <f>OBRA!N506</f>
        <v>RAMO 33</v>
      </c>
      <c r="F506" s="479" t="s">
        <v>1427</v>
      </c>
      <c r="G506" s="146" t="s">
        <v>1176</v>
      </c>
      <c r="H506" s="2" t="s">
        <v>1176</v>
      </c>
      <c r="I506" s="497" t="s">
        <v>3602</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3506</v>
      </c>
      <c r="P506" s="67">
        <f>OBRA!T506</f>
        <v>44019</v>
      </c>
      <c r="Q506" s="79">
        <f>OBRA!S506</f>
        <v>165908.29999999999</v>
      </c>
      <c r="R506" s="5">
        <f>OBRA!U506</f>
        <v>44032</v>
      </c>
      <c r="S506" s="11">
        <f>OBRA!V506</f>
        <v>44051</v>
      </c>
      <c r="T506" s="1381" t="s">
        <v>3819</v>
      </c>
      <c r="U506" s="62" t="s">
        <v>1427</v>
      </c>
      <c r="V506" s="202" t="s">
        <v>1176</v>
      </c>
      <c r="W506" s="206" t="s">
        <v>1176</v>
      </c>
      <c r="X506" s="1007">
        <f>OBRA!AS506</f>
        <v>41477.089999999997</v>
      </c>
      <c r="Y506" s="310"/>
      <c r="Z506" s="310"/>
      <c r="AA506" s="5"/>
      <c r="AB506" s="314"/>
      <c r="AC506" s="318">
        <f>OBRA!BX506</f>
        <v>0</v>
      </c>
      <c r="AD506" s="2" t="s">
        <v>3581</v>
      </c>
      <c r="AE506" s="353" t="s">
        <v>550</v>
      </c>
    </row>
    <row r="507" spans="1:31" ht="15" hidden="1" customHeight="1">
      <c r="A507" s="22" t="s">
        <v>2209</v>
      </c>
      <c r="B507" s="814" t="str">
        <f>'ADMININSTRACIÓN DIR - OBRA'!B510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'ADMININSTRACIÓN DIR - OBRA'!B511</f>
        <v>2018-2021</v>
      </c>
      <c r="C508" s="16">
        <f>OBRA!K508</f>
        <v>2020</v>
      </c>
      <c r="D508" s="1444"/>
      <c r="E508" s="17" t="str">
        <f>OBRA!N508</f>
        <v>RAMO 33</v>
      </c>
      <c r="F508" s="479" t="s">
        <v>1427</v>
      </c>
      <c r="G508" s="497" t="s">
        <v>3660</v>
      </c>
      <c r="H508" s="496" t="s">
        <v>3660</v>
      </c>
      <c r="I508" s="497" t="s">
        <v>3660</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3507</v>
      </c>
      <c r="P508" s="67">
        <f>OBRA!T508</f>
        <v>44021</v>
      </c>
      <c r="Q508" s="79">
        <f>OBRA!S508</f>
        <v>773550.52</v>
      </c>
      <c r="R508" s="5">
        <f>OBRA!U508</f>
        <v>44032</v>
      </c>
      <c r="S508" s="11">
        <f>OBRA!V508</f>
        <v>44077</v>
      </c>
      <c r="T508" s="1381" t="s">
        <v>3819</v>
      </c>
      <c r="U508" s="62" t="s">
        <v>1427</v>
      </c>
      <c r="V508" s="500" t="s">
        <v>3660</v>
      </c>
      <c r="W508" s="589" t="s">
        <v>3660</v>
      </c>
      <c r="X508" s="1007">
        <f>OBRA!AS508</f>
        <v>348563.12</v>
      </c>
      <c r="Y508" s="310"/>
      <c r="Z508" s="310"/>
      <c r="AA508" s="5"/>
      <c r="AB508" s="314"/>
      <c r="AC508" s="318">
        <f>OBRA!BX508</f>
        <v>0</v>
      </c>
      <c r="AD508" s="1"/>
      <c r="AE508" s="353" t="s">
        <v>550</v>
      </c>
    </row>
    <row r="509" spans="1:31" ht="155.25" hidden="1" customHeight="1">
      <c r="A509" s="22" t="s">
        <v>2209</v>
      </c>
      <c r="B509" s="814" t="str">
        <f>'ADMININSTRACIÓN DIR - OBRA'!B512</f>
        <v>2018-2021</v>
      </c>
      <c r="C509" s="16">
        <f>OBRA!K509</f>
        <v>2020</v>
      </c>
      <c r="D509" s="1444"/>
      <c r="E509" s="17" t="str">
        <f>OBRA!N509</f>
        <v>RAMO 33</v>
      </c>
      <c r="F509" s="479" t="s">
        <v>1427</v>
      </c>
      <c r="G509" s="497" t="s">
        <v>3531</v>
      </c>
      <c r="H509" s="496" t="s">
        <v>3531</v>
      </c>
      <c r="I509" s="497" t="s">
        <v>3664</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3507</v>
      </c>
      <c r="P509" s="6">
        <f>OBRA!T509</f>
        <v>44021</v>
      </c>
      <c r="Q509" s="4">
        <f>OBRA!S509</f>
        <v>844236.05</v>
      </c>
      <c r="R509" s="5">
        <f>OBRA!U509</f>
        <v>44027</v>
      </c>
      <c r="S509" s="11">
        <f>OBRA!V509</f>
        <v>44088</v>
      </c>
      <c r="T509" s="1381" t="s">
        <v>3819</v>
      </c>
      <c r="U509" s="378" t="s">
        <v>1427</v>
      </c>
      <c r="V509" s="500" t="s">
        <v>3531</v>
      </c>
      <c r="W509" s="589" t="s">
        <v>3531</v>
      </c>
      <c r="X509" s="1007">
        <f>OBRA!AS509</f>
        <v>168847.22</v>
      </c>
      <c r="Y509" s="310"/>
      <c r="Z509" s="310"/>
      <c r="AA509" s="5"/>
      <c r="AB509" s="314"/>
      <c r="AC509" s="318">
        <f>OBRA!BX509</f>
        <v>0</v>
      </c>
      <c r="AD509" s="1"/>
      <c r="AE509" s="353" t="s">
        <v>550</v>
      </c>
    </row>
    <row r="510" spans="1:31" ht="80.25" hidden="1" customHeight="1">
      <c r="A510" s="22" t="s">
        <v>2209</v>
      </c>
      <c r="B510" s="814" t="str">
        <f>'ADMININSTRACIÓN DIR - OBRA'!B513</f>
        <v>2018-2021</v>
      </c>
      <c r="C510" s="16">
        <f>OBRA!K510</f>
        <v>2020</v>
      </c>
      <c r="D510" s="1444"/>
      <c r="E510" s="17" t="str">
        <f>OBRA!N510</f>
        <v>RAMO 33</v>
      </c>
      <c r="F510" s="479" t="s">
        <v>1427</v>
      </c>
      <c r="G510" s="163"/>
      <c r="H510" s="496" t="s">
        <v>3603</v>
      </c>
      <c r="I510" s="497" t="s">
        <v>3603</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3507</v>
      </c>
      <c r="P510" s="67">
        <f>OBRA!T510</f>
        <v>44019</v>
      </c>
      <c r="Q510" s="79">
        <f>OBRA!S510</f>
        <v>189588.54</v>
      </c>
      <c r="R510" s="5">
        <f>OBRA!U510</f>
        <v>44032</v>
      </c>
      <c r="S510" s="11">
        <f>OBRA!V510</f>
        <v>44051</v>
      </c>
      <c r="T510" s="1381" t="s">
        <v>3819</v>
      </c>
      <c r="U510" s="62" t="s">
        <v>1427</v>
      </c>
      <c r="V510" s="500" t="s">
        <v>3603</v>
      </c>
      <c r="W510" s="589" t="s">
        <v>3603</v>
      </c>
      <c r="X510" s="1007">
        <f>OBRA!AS510</f>
        <v>66356</v>
      </c>
      <c r="Y510" s="310"/>
      <c r="Z510" s="310"/>
      <c r="AA510" s="5"/>
      <c r="AB510" s="314"/>
      <c r="AC510" s="318">
        <f>OBRA!BX510</f>
        <v>0</v>
      </c>
      <c r="AD510" s="1305" t="s">
        <v>3667</v>
      </c>
      <c r="AE510" s="353"/>
    </row>
    <row r="511" spans="1:31" ht="136.5" hidden="1" customHeight="1">
      <c r="A511" s="22" t="s">
        <v>2209</v>
      </c>
      <c r="B511" s="814" t="str">
        <f>'ADMININSTRACIÓN DIR - OBRA'!B514</f>
        <v>2018-2021</v>
      </c>
      <c r="C511" s="16">
        <f>OBRA!K511</f>
        <v>2020</v>
      </c>
      <c r="D511" s="1444"/>
      <c r="E511" s="17" t="str">
        <f>OBRA!N511</f>
        <v>RAMO 33</v>
      </c>
      <c r="F511" s="479" t="s">
        <v>1427</v>
      </c>
      <c r="G511" s="497" t="s">
        <v>3511</v>
      </c>
      <c r="H511" s="496" t="s">
        <v>3511</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3507</v>
      </c>
      <c r="P511" s="6">
        <f>OBRA!T511</f>
        <v>44028</v>
      </c>
      <c r="Q511" s="4">
        <f>OBRA!S511</f>
        <v>1003699.45</v>
      </c>
      <c r="R511" s="5">
        <f>OBRA!U511</f>
        <v>44032</v>
      </c>
      <c r="S511" s="11">
        <f>OBRA!V511</f>
        <v>44089</v>
      </c>
      <c r="T511" s="1381" t="s">
        <v>3819</v>
      </c>
      <c r="U511" s="378" t="s">
        <v>1427</v>
      </c>
      <c r="V511" s="500" t="s">
        <v>3511</v>
      </c>
      <c r="W511" s="589" t="s">
        <v>3511</v>
      </c>
      <c r="X511" s="1007">
        <f>OBRA!AS511</f>
        <v>451664.74</v>
      </c>
      <c r="Y511" s="310"/>
      <c r="Z511" s="310"/>
      <c r="AA511" s="5"/>
      <c r="AB511" s="314"/>
      <c r="AC511" s="318">
        <f>OBRA!BX511</f>
        <v>0</v>
      </c>
      <c r="AD511" s="1305" t="s">
        <v>3667</v>
      </c>
      <c r="AE511" s="353"/>
    </row>
    <row r="512" spans="1:31" ht="144.75" hidden="1" customHeight="1">
      <c r="A512" s="22" t="s">
        <v>2209</v>
      </c>
      <c r="B512" s="814" t="str">
        <f>'ADMININSTRACIÓN DIR - OBRA'!B515</f>
        <v>2018-2021</v>
      </c>
      <c r="C512" s="16">
        <f>OBRA!K512</f>
        <v>2020</v>
      </c>
      <c r="D512" s="1444"/>
      <c r="E512" s="17" t="str">
        <f>OBRA!N512</f>
        <v>RAMO 33</v>
      </c>
      <c r="F512" s="479" t="s">
        <v>1427</v>
      </c>
      <c r="G512" s="497" t="s">
        <v>3510</v>
      </c>
      <c r="H512" s="496" t="s">
        <v>3510</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3507</v>
      </c>
      <c r="P512" s="6">
        <f>OBRA!T512</f>
        <v>44028</v>
      </c>
      <c r="Q512" s="4">
        <f>OBRA!S512</f>
        <v>961974.96</v>
      </c>
      <c r="R512" s="5">
        <f>OBRA!U512</f>
        <v>44032</v>
      </c>
      <c r="S512" s="11">
        <f>OBRA!V512</f>
        <v>44089</v>
      </c>
      <c r="T512" s="1381" t="s">
        <v>3819</v>
      </c>
      <c r="U512" s="378" t="s">
        <v>1427</v>
      </c>
      <c r="V512" s="500" t="s">
        <v>3510</v>
      </c>
      <c r="W512" s="589" t="s">
        <v>3510</v>
      </c>
      <c r="X512" s="1007">
        <f>OBRA!AS512</f>
        <v>432888.71</v>
      </c>
      <c r="Y512" s="310"/>
      <c r="Z512" s="310"/>
      <c r="AA512" s="5"/>
      <c r="AB512" s="314"/>
      <c r="AC512" s="318">
        <f>OBRA!BX512</f>
        <v>0</v>
      </c>
      <c r="AD512" s="1305" t="s">
        <v>3667</v>
      </c>
      <c r="AE512" s="353"/>
    </row>
    <row r="513" spans="1:31" ht="122.25" hidden="1" customHeight="1">
      <c r="A513" s="22" t="s">
        <v>2209</v>
      </c>
      <c r="B513" s="814" t="str">
        <f>'ADMININSTRACIÓN DIR - OBRA'!B516</f>
        <v>2018-2021</v>
      </c>
      <c r="C513" s="16">
        <f>OBRA!K513</f>
        <v>2020</v>
      </c>
      <c r="D513" s="1444" t="s">
        <v>4024</v>
      </c>
      <c r="E513" s="17" t="str">
        <f>OBRA!N513</f>
        <v>RAMO 33</v>
      </c>
      <c r="F513" s="479" t="s">
        <v>1427</v>
      </c>
      <c r="G513" s="497" t="s">
        <v>3522</v>
      </c>
      <c r="H513" s="496" t="s">
        <v>3522</v>
      </c>
      <c r="I513" s="497" t="s">
        <v>3522</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3507</v>
      </c>
      <c r="P513" s="6">
        <f>OBRA!T513</f>
        <v>44076</v>
      </c>
      <c r="Q513" s="4">
        <f>OBRA!S513</f>
        <v>720809.67</v>
      </c>
      <c r="R513" s="5">
        <f>OBRA!U513</f>
        <v>44069</v>
      </c>
      <c r="S513" s="11">
        <f>OBRA!V513</f>
        <v>44142</v>
      </c>
      <c r="T513" s="1381" t="s">
        <v>3819</v>
      </c>
      <c r="U513" s="378" t="s">
        <v>1427</v>
      </c>
      <c r="V513" s="500" t="s">
        <v>3792</v>
      </c>
      <c r="W513" s="589" t="s">
        <v>3792</v>
      </c>
      <c r="X513" s="1007">
        <f>OBRA!AS513</f>
        <v>334528.5</v>
      </c>
      <c r="Y513" s="500" t="s">
        <v>3792</v>
      </c>
      <c r="Z513" s="310">
        <v>44144</v>
      </c>
      <c r="AA513" s="5">
        <v>101641.54</v>
      </c>
      <c r="AB513" s="314"/>
      <c r="AC513" s="318" t="s">
        <v>3555</v>
      </c>
      <c r="AD513" s="1305"/>
      <c r="AE513" s="353" t="s">
        <v>550</v>
      </c>
    </row>
    <row r="514" spans="1:31" ht="83.25" hidden="1" customHeight="1">
      <c r="A514" s="22" t="s">
        <v>2209</v>
      </c>
      <c r="B514" s="814" t="str">
        <f>'ADMININSTRACIÓN DIR - OBRA'!B517</f>
        <v>2018-2021</v>
      </c>
      <c r="C514" s="16">
        <f>OBRA!K514</f>
        <v>2020</v>
      </c>
      <c r="D514" s="1444"/>
      <c r="E514" s="17" t="str">
        <f>OBRA!N514</f>
        <v>RAMO 33</v>
      </c>
      <c r="F514" s="479" t="s">
        <v>1427</v>
      </c>
      <c r="G514" s="163"/>
      <c r="H514" s="496" t="s">
        <v>3622</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3507</v>
      </c>
      <c r="P514" s="67">
        <f>OBRA!T514</f>
        <v>44007</v>
      </c>
      <c r="Q514" s="79">
        <f>OBRA!S514</f>
        <v>2630623.62</v>
      </c>
      <c r="R514" s="5">
        <f>OBRA!U514</f>
        <v>44008</v>
      </c>
      <c r="S514" s="11">
        <f>OBRA!V514</f>
        <v>44099</v>
      </c>
      <c r="T514" s="1381" t="s">
        <v>3819</v>
      </c>
      <c r="U514" s="378" t="s">
        <v>1427</v>
      </c>
      <c r="V514" s="500" t="s">
        <v>3622</v>
      </c>
      <c r="W514" s="589" t="s">
        <v>3622</v>
      </c>
      <c r="X514" s="1006">
        <f>OBRA!AS514</f>
        <v>263173.42</v>
      </c>
      <c r="Y514" s="310"/>
      <c r="Z514" s="310"/>
      <c r="AA514" s="5"/>
      <c r="AB514" s="314"/>
      <c r="AC514" s="318">
        <f>OBRA!BX514</f>
        <v>0</v>
      </c>
      <c r="AD514" s="1305" t="s">
        <v>3667</v>
      </c>
      <c r="AE514" s="353"/>
    </row>
    <row r="515" spans="1:31" ht="15" hidden="1" customHeight="1">
      <c r="A515" s="22" t="s">
        <v>2209</v>
      </c>
      <c r="B515" s="814" t="str">
        <f>'ADMININSTRACIÓN DIR - OBRA'!B520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'ADMININSTRACIÓN DIR - OBRA'!B521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'ADMININSTRACIÓN DIR - OBRA'!#REF!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'ADMININSTRACIÓN DIR - OBRA'!#REF!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'ADMININSTRACIÓN DIR - OBRA'!B522</f>
        <v>2018-2021</v>
      </c>
      <c r="C519" s="16">
        <f>OBRA!K519</f>
        <v>2020</v>
      </c>
      <c r="D519" s="1444"/>
      <c r="E519" s="17" t="str">
        <f>OBRA!N519</f>
        <v>RAMO 33</v>
      </c>
      <c r="F519" s="479" t="s">
        <v>1427</v>
      </c>
      <c r="G519" s="163"/>
      <c r="H519" s="496" t="s">
        <v>3623</v>
      </c>
      <c r="I519" s="497" t="s">
        <v>3623</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3507</v>
      </c>
      <c r="P519" s="6">
        <f>OBRA!T519</f>
        <v>44155</v>
      </c>
      <c r="Q519" s="4">
        <f>OBRA!S519</f>
        <v>287771.56</v>
      </c>
      <c r="R519" s="5">
        <f>OBRA!U519</f>
        <v>44165</v>
      </c>
      <c r="S519" s="11">
        <f>OBRA!V519</f>
        <v>44180</v>
      </c>
      <c r="T519" s="1381" t="s">
        <v>3819</v>
      </c>
      <c r="U519" s="62" t="s">
        <v>1427</v>
      </c>
      <c r="V519" s="500" t="s">
        <v>3623</v>
      </c>
      <c r="W519" s="589" t="s">
        <v>3623</v>
      </c>
      <c r="X519" s="1007">
        <f>OBRA!AS519</f>
        <v>57554.3</v>
      </c>
      <c r="Y519" s="310"/>
      <c r="Z519" s="310"/>
      <c r="AA519" s="5"/>
      <c r="AB519" s="314"/>
      <c r="AC519" s="318">
        <f>OBRA!BX519</f>
        <v>0</v>
      </c>
      <c r="AD519" s="1305" t="s">
        <v>3667</v>
      </c>
      <c r="AE519" s="353"/>
    </row>
    <row r="520" spans="1:31" ht="77.25" hidden="1" customHeight="1">
      <c r="A520" s="22" t="s">
        <v>2209</v>
      </c>
      <c r="B520" s="814" t="str">
        <f>'ADMININSTRACIÓN DIR - OBRA'!B523</f>
        <v>2018-2021</v>
      </c>
      <c r="C520" s="16">
        <f>OBRA!K520</f>
        <v>2020</v>
      </c>
      <c r="D520" s="1444"/>
      <c r="E520" s="18" t="str">
        <f>OBRA!N520</f>
        <v>RESCATE AL PATRIMONIO</v>
      </c>
      <c r="F520" s="1032" t="s">
        <v>3525</v>
      </c>
      <c r="G520" s="497" t="s">
        <v>3526</v>
      </c>
      <c r="H520" s="496" t="s">
        <v>3526</v>
      </c>
      <c r="I520" s="497" t="s">
        <v>3526</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3508</v>
      </c>
      <c r="P520" s="6">
        <f>OBRA!T520</f>
        <v>44158</v>
      </c>
      <c r="Q520" s="4">
        <f>OBRA!S520</f>
        <v>1600000</v>
      </c>
      <c r="R520" s="5">
        <f>OBRA!U520</f>
        <v>44166</v>
      </c>
      <c r="S520" s="11">
        <f>OBRA!V520</f>
        <v>44189</v>
      </c>
      <c r="T520" s="208" t="s">
        <v>3818</v>
      </c>
      <c r="U520" s="651" t="s">
        <v>3844</v>
      </c>
      <c r="V520" s="538"/>
      <c r="W520" s="438"/>
      <c r="X520" s="1007">
        <f>OBRA!AS520</f>
        <v>320000</v>
      </c>
      <c r="Y520" s="310"/>
      <c r="Z520" s="310"/>
      <c r="AA520" s="5"/>
      <c r="AB520" s="314"/>
      <c r="AC520" s="318">
        <f>OBRA!BX520</f>
        <v>0</v>
      </c>
      <c r="AD520" s="1305" t="s">
        <v>3625</v>
      </c>
      <c r="AE520" s="353"/>
    </row>
    <row r="521" spans="1:31" ht="106.5" hidden="1" customHeight="1">
      <c r="A521" s="22" t="s">
        <v>2209</v>
      </c>
      <c r="B521" s="814" t="str">
        <f>'ADMININSTRACIÓN DIR - OBRA'!B524</f>
        <v>2018-2021</v>
      </c>
      <c r="C521" s="16">
        <f>OBRA!K521</f>
        <v>2020</v>
      </c>
      <c r="D521" s="1444"/>
      <c r="E521" s="17" t="str">
        <f>OBRA!N521</f>
        <v>RAMO 33</v>
      </c>
      <c r="F521" s="479" t="s">
        <v>1427</v>
      </c>
      <c r="G521" s="497" t="s">
        <v>3624</v>
      </c>
      <c r="H521" s="496" t="s">
        <v>3665</v>
      </c>
      <c r="I521" s="497" t="s">
        <v>3624</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3508</v>
      </c>
      <c r="P521" s="6">
        <f>OBRA!T521</f>
        <v>44168</v>
      </c>
      <c r="Q521" s="4">
        <f>OBRA!S521</f>
        <v>914194.81</v>
      </c>
      <c r="R521" s="5">
        <f>OBRA!U521</f>
        <v>44169</v>
      </c>
      <c r="S521" s="11">
        <f>OBRA!V521</f>
        <v>44180</v>
      </c>
      <c r="T521" s="1381" t="s">
        <v>3819</v>
      </c>
      <c r="U521" s="62" t="s">
        <v>1427</v>
      </c>
      <c r="V521" s="500" t="s">
        <v>3624</v>
      </c>
      <c r="W521" s="589" t="s">
        <v>3624</v>
      </c>
      <c r="X521" s="1007">
        <f>OBRA!AS521</f>
        <v>411389.14999999997</v>
      </c>
      <c r="Y521" s="310"/>
      <c r="Z521" s="310"/>
      <c r="AA521" s="5"/>
      <c r="AB521" s="314"/>
      <c r="AC521" s="318">
        <f>OBRA!BX521</f>
        <v>0</v>
      </c>
      <c r="AD521" s="1305"/>
      <c r="AE521" s="353" t="s">
        <v>550</v>
      </c>
    </row>
    <row r="522" spans="1:31" ht="84.75" hidden="1" customHeight="1">
      <c r="A522" s="22" t="s">
        <v>2209</v>
      </c>
      <c r="B522" s="814" t="str">
        <f>'ADMININSTRACIÓN DIR - OBRA'!B525</f>
        <v>2018-2021</v>
      </c>
      <c r="C522" s="16">
        <f>OBRA!K522</f>
        <v>2020</v>
      </c>
      <c r="D522" s="1444"/>
      <c r="E522" s="17" t="str">
        <f>OBRA!N522</f>
        <v>RASTRO DIGNO</v>
      </c>
      <c r="F522" s="1032" t="s">
        <v>3525</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3508</v>
      </c>
      <c r="P522" s="67">
        <f>OBRA!T522</f>
        <v>44195</v>
      </c>
      <c r="Q522" s="79">
        <f>OBRA!S522</f>
        <v>537866.98</v>
      </c>
      <c r="R522" s="5">
        <f>OBRA!U522</f>
        <v>44195</v>
      </c>
      <c r="S522" s="11">
        <f>OBRA!V522</f>
        <v>44227</v>
      </c>
      <c r="T522" s="1381" t="s">
        <v>3819</v>
      </c>
      <c r="U522" s="204"/>
      <c r="V522" s="538"/>
      <c r="W522" s="438"/>
      <c r="X522" s="1006">
        <f>OBRA!AS522</f>
        <v>0</v>
      </c>
      <c r="Y522" s="310"/>
      <c r="Z522" s="310"/>
      <c r="AA522" s="5"/>
      <c r="AB522" s="314"/>
      <c r="AC522" s="318">
        <f>OBRA!BX522</f>
        <v>0</v>
      </c>
      <c r="AD522" s="1305" t="s">
        <v>3625</v>
      </c>
      <c r="AE522" s="353"/>
    </row>
    <row r="523" spans="1:31" ht="15" hidden="1" customHeight="1">
      <c r="A523" s="22" t="s">
        <v>2209</v>
      </c>
      <c r="B523" s="814" t="str">
        <f>'ADMININSTRACIÓN DIR - OBRA'!B525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'ADMININSTRACIÓN DIR - OBRA'!B527</f>
        <v>2018-2021</v>
      </c>
      <c r="C524" s="16">
        <f>OBRA!K524</f>
        <v>2020</v>
      </c>
      <c r="D524" s="1444"/>
      <c r="E524" s="17" t="str">
        <f>OBRA!N524</f>
        <v>RAMO 33</v>
      </c>
      <c r="F524" s="479" t="s">
        <v>1427</v>
      </c>
      <c r="G524" s="497" t="s">
        <v>3793</v>
      </c>
      <c r="H524" s="496" t="s">
        <v>3793</v>
      </c>
      <c r="I524" s="497" t="s">
        <v>3793</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3508</v>
      </c>
      <c r="P524" s="6">
        <f>OBRA!T524</f>
        <v>44168</v>
      </c>
      <c r="Q524" s="4">
        <f>OBRA!S524</f>
        <v>229496.26</v>
      </c>
      <c r="R524" s="5">
        <f>OBRA!U524</f>
        <v>44172</v>
      </c>
      <c r="S524" s="11">
        <f>OBRA!V524</f>
        <v>44184</v>
      </c>
      <c r="T524" s="1753" t="s">
        <v>3819</v>
      </c>
      <c r="U524" s="378" t="s">
        <v>1427</v>
      </c>
      <c r="V524" s="500" t="s">
        <v>3793</v>
      </c>
      <c r="W524" s="589" t="s">
        <v>3793</v>
      </c>
      <c r="X524" s="1007">
        <f>OBRA!AS524</f>
        <v>45899.24</v>
      </c>
      <c r="Y524" s="310"/>
      <c r="Z524" s="310"/>
      <c r="AA524" s="5"/>
      <c r="AB524" s="314"/>
      <c r="AC524" s="318">
        <f>OBRA!BX524</f>
        <v>0</v>
      </c>
      <c r="AD524" s="1305"/>
      <c r="AE524" s="353" t="s">
        <v>550</v>
      </c>
    </row>
    <row r="525" spans="1:31" ht="123.75" hidden="1" customHeight="1">
      <c r="A525" s="22" t="s">
        <v>2209</v>
      </c>
      <c r="B525" s="814" t="str">
        <f>'ADMININSTRACIÓN DIR - OBRA'!B527</f>
        <v>2018-2021</v>
      </c>
      <c r="C525" s="16">
        <f>OBRA!K525</f>
        <v>2020</v>
      </c>
      <c r="D525" s="1444"/>
      <c r="E525" s="17" t="str">
        <f>OBRA!N525</f>
        <v>CUENTA CORRIENTE</v>
      </c>
      <c r="F525" s="479" t="s">
        <v>1427</v>
      </c>
      <c r="G525" s="497" t="s">
        <v>3654</v>
      </c>
      <c r="H525" s="496" t="s">
        <v>3654</v>
      </c>
      <c r="I525" s="497" t="s">
        <v>3654</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3508</v>
      </c>
      <c r="P525" s="6">
        <f>OBRA!T525</f>
        <v>44548</v>
      </c>
      <c r="Q525" s="4">
        <f>OBRA!S525</f>
        <v>868714.16</v>
      </c>
      <c r="R525" s="5">
        <f>OBRA!U525</f>
        <v>44194</v>
      </c>
      <c r="S525" s="11">
        <f>OBRA!V525</f>
        <v>44284</v>
      </c>
      <c r="T525" s="208" t="s">
        <v>3818</v>
      </c>
      <c r="U525" s="378" t="s">
        <v>1427</v>
      </c>
      <c r="V525" s="538"/>
      <c r="W525" s="438"/>
      <c r="X525" s="1006">
        <f>OBRA!AS525</f>
        <v>0</v>
      </c>
      <c r="Y525" s="310"/>
      <c r="Z525" s="310"/>
      <c r="AA525" s="5"/>
      <c r="AB525" s="314"/>
      <c r="AC525" s="318">
        <f>OBRA!BX525</f>
        <v>0</v>
      </c>
      <c r="AD525" s="1305" t="s">
        <v>3625</v>
      </c>
      <c r="AE525" s="353"/>
    </row>
    <row r="526" spans="1:31" ht="15" hidden="1" customHeight="1">
      <c r="A526" s="22" t="s">
        <v>2209</v>
      </c>
      <c r="B526" s="814" t="e">
        <f>'ADMININSTRACIÓN DIR - OBRA'!#REF!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'ADMININSTRACIÓN DIR - OBRA'!B529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'ADMININSTRACIÓN DIR - OBRA'!B530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'ADMININSTRACIÓN DIR - OBRA'!B531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'ADMININSTRACIÓN DIR - OBRA'!B532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'ADMININSTRACIÓN DIR - OBRA'!B533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'ADMININSTRACIÓN DIR - OBRA'!B534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'ADMININSTRACIÓN DIR - OBRA'!B535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'ADMININSTRACIÓN DIR - OBRA'!B536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'ADMININSTRACIÓN DIR - OBRA'!B537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'ADMININSTRACIÓN DIR - OBRA'!B539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'ADMININSTRACIÓN DIR - OBRA'!B540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'ADMININSTRACIÓN DIR - OBRA'!B541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'ADMININSTRACIÓN DIR - OBRA'!B542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'ADMININSTRACIÓN DIR - OBRA'!B543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'ADMININSTRACIÓN DIR - OBRA'!B544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'ADMININSTRACIÓN DIR - OBRA'!B545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'ADMININSTRACIÓN DIR - OBRA'!B546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'ADMININSTRACIÓN DIR - OBRA'!B547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'ADMININSTRACIÓN DIR - OBRA'!B548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'ADMININSTRACIÓN DIR - OBRA'!B549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'ADMININSTRACIÓN DIR - OBRA'!B550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'ADMININSTRACIÓN DIR - OBRA'!B551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'ADMININSTRACIÓN DIR - OBRA'!B552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'ADMININSTRACIÓN DIR - OBRA'!B553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'ADMININSTRACIÓN DIR - OBRA'!B554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'ADMININSTRACIÓN DIR - OBRA'!B555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'ADMININSTRACIÓN DIR - OBRA'!B556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'ADMININSTRACIÓN DIR - OBRA'!B557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'ADMININSTRACIÓN DIR - OBRA'!B558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'ADMININSTRACIÓN DIR - OBRA'!B559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'ADMININSTRACIÓN DIR - OBRA'!B560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'ADMININSTRACIÓN DIR - OBRA'!B562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'ADMININSTRACIÓN DIR - OBRA'!B563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'ADMININSTRACIÓN DIR - OBRA'!B564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'ADMININSTRACIÓN DIR - OBRA'!B565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'ADMININSTRACIÓN DIR - OBRA'!B566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'ADMININSTRACIÓN DIR - OBRA'!B567</f>
        <v>2018-2021</v>
      </c>
      <c r="C563" s="16">
        <f>OBRA!K565</f>
        <v>2021</v>
      </c>
      <c r="D563" s="1444"/>
      <c r="E563" s="17" t="str">
        <f>OBRA!N565</f>
        <v>CUENTA CORRIENTE</v>
      </c>
      <c r="F563" s="479" t="s">
        <v>1427</v>
      </c>
      <c r="G563" s="497" t="s">
        <v>3794</v>
      </c>
      <c r="H563" s="496" t="s">
        <v>3794</v>
      </c>
      <c r="I563" s="497" t="s">
        <v>3794</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3801</v>
      </c>
      <c r="P563" s="6">
        <f>OBRA!T565</f>
        <v>44208</v>
      </c>
      <c r="Q563" s="4">
        <f>OBRA!S565</f>
        <v>1300000</v>
      </c>
      <c r="R563" s="5">
        <f>OBRA!U565</f>
        <v>44231</v>
      </c>
      <c r="S563" s="11">
        <f>OBRA!V565</f>
        <v>44377</v>
      </c>
      <c r="T563" s="208" t="s">
        <v>3818</v>
      </c>
      <c r="U563" s="378" t="s">
        <v>1427</v>
      </c>
      <c r="V563" s="500" t="s">
        <v>3794</v>
      </c>
      <c r="W563" s="589" t="s">
        <v>3794</v>
      </c>
      <c r="X563" s="1007">
        <f>OBRA!AS565</f>
        <v>455000</v>
      </c>
      <c r="Y563" s="310"/>
      <c r="Z563" s="310"/>
      <c r="AA563" s="5"/>
      <c r="AB563" s="314"/>
      <c r="AC563" s="318">
        <f>OBRA!BX565</f>
        <v>0</v>
      </c>
      <c r="AD563" s="1"/>
      <c r="AE563" s="353" t="s">
        <v>550</v>
      </c>
    </row>
    <row r="564" spans="1:31" ht="15" hidden="1" customHeight="1">
      <c r="A564" s="22" t="s">
        <v>2209</v>
      </c>
      <c r="B564" s="814" t="str">
        <f>'ADMININSTRACIÓN DIR - OBRA'!B568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'ADMININSTRACIÓN DIR - OBRA'!B569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3801</v>
      </c>
      <c r="P565" s="6">
        <f>OBRA!T567</f>
        <v>44208</v>
      </c>
      <c r="Q565" s="4">
        <f>OBRA!S567</f>
        <v>195609.22</v>
      </c>
      <c r="R565" s="5">
        <f>OBRA!U567</f>
        <v>44242</v>
      </c>
      <c r="S565" s="11">
        <f>OBRA!V567</f>
        <v>44270</v>
      </c>
      <c r="T565" s="208" t="s">
        <v>3818</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'ADMININSTRACIÓN DIR - OBRA'!B570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'ADMININSTRACIÓN DIR - OBRA'!B571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3801</v>
      </c>
      <c r="P567" s="6">
        <f>OBRA!T569</f>
        <v>44208</v>
      </c>
      <c r="Q567" s="4">
        <f>OBRA!S569</f>
        <v>758856.32</v>
      </c>
      <c r="R567" s="5">
        <f>OBRA!U569</f>
        <v>44271</v>
      </c>
      <c r="S567" s="11">
        <f>OBRA!V569</f>
        <v>44275</v>
      </c>
      <c r="T567" s="208" t="s">
        <v>3818</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'ADMININSTRACIÓN DIR - OBRA'!B572</f>
        <v>2018-2021</v>
      </c>
      <c r="C568" s="16">
        <f>OBRA!K570</f>
        <v>2021</v>
      </c>
      <c r="D568" s="1444"/>
      <c r="E568" s="17" t="str">
        <f>OBRA!N570</f>
        <v>RAMO 33</v>
      </c>
      <c r="F568" s="479" t="s">
        <v>1427</v>
      </c>
      <c r="G568" s="163"/>
      <c r="H568" s="511"/>
      <c r="I568" s="497" t="s">
        <v>4208</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3801</v>
      </c>
      <c r="P568" s="6">
        <f>OBRA!T570</f>
        <v>44208</v>
      </c>
      <c r="Q568" s="4">
        <f>OBRA!S570</f>
        <v>1379641.73</v>
      </c>
      <c r="R568" s="5">
        <f>OBRA!U570</f>
        <v>44211</v>
      </c>
      <c r="S568" s="11">
        <f>OBRA!V570</f>
        <v>44256</v>
      </c>
      <c r="T568" s="1381" t="s">
        <v>3819</v>
      </c>
      <c r="U568" s="62" t="s">
        <v>1427</v>
      </c>
      <c r="V568" s="500" t="s">
        <v>4208</v>
      </c>
      <c r="W568" s="589" t="s">
        <v>4217</v>
      </c>
      <c r="X568" s="1007">
        <f>OBRA!AS570</f>
        <v>275928.34000000003</v>
      </c>
      <c r="Y568" s="310"/>
      <c r="Z568" s="310"/>
      <c r="AA568" s="5"/>
      <c r="AB568" s="314"/>
      <c r="AC568" s="318">
        <f>OBRA!BX570</f>
        <v>0</v>
      </c>
      <c r="AD568" s="1"/>
      <c r="AE568" s="353"/>
    </row>
    <row r="569" spans="1:31" ht="96.75" hidden="1" customHeight="1">
      <c r="A569" s="22" t="s">
        <v>2209</v>
      </c>
      <c r="B569" s="814" t="str">
        <f>'ADMININSTRACIÓN DIR - OBRA'!B573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3801</v>
      </c>
      <c r="P569" s="6">
        <f>OBRA!T571</f>
        <v>44208</v>
      </c>
      <c r="Q569" s="4">
        <f>OBRA!S571</f>
        <v>101577.38</v>
      </c>
      <c r="R569" s="5">
        <f>OBRA!U571</f>
        <v>44270</v>
      </c>
      <c r="S569" s="11">
        <f>OBRA!V571</f>
        <v>44275</v>
      </c>
      <c r="T569" s="208" t="s">
        <v>3818</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'ADMININSTRACIÓN DIR - OBRA'!B574</f>
        <v>2018-2021</v>
      </c>
      <c r="C570" s="16">
        <f>OBRA!K572</f>
        <v>2021</v>
      </c>
      <c r="D570" s="1444"/>
      <c r="E570" s="17" t="str">
        <f>OBRA!N572</f>
        <v>RAMO 33</v>
      </c>
      <c r="F570" s="479" t="s">
        <v>1427</v>
      </c>
      <c r="G570" s="497" t="s">
        <v>4209</v>
      </c>
      <c r="H570" s="496" t="s">
        <v>4209</v>
      </c>
      <c r="I570" s="497" t="s">
        <v>4209</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3801</v>
      </c>
      <c r="P570" s="67">
        <f>OBRA!T572</f>
        <v>44200</v>
      </c>
      <c r="Q570" s="79">
        <f>OBRA!S572</f>
        <v>1301387.07</v>
      </c>
      <c r="R570" s="5">
        <f>OBRA!U572</f>
        <v>44201</v>
      </c>
      <c r="S570" s="11">
        <f>OBRA!V572</f>
        <v>44270</v>
      </c>
      <c r="T570" s="1381" t="s">
        <v>3819</v>
      </c>
      <c r="U570" s="62" t="s">
        <v>1427</v>
      </c>
      <c r="V570" s="500" t="s">
        <v>4209</v>
      </c>
      <c r="W570" s="589" t="s">
        <v>4218</v>
      </c>
      <c r="X570" s="1007">
        <f>OBRA!AS572</f>
        <v>243611.33000000002</v>
      </c>
      <c r="Y570" s="310"/>
      <c r="Z570" s="310"/>
      <c r="AA570" s="5"/>
      <c r="AB570" s="314"/>
      <c r="AC570" s="318">
        <f>OBRA!BX572</f>
        <v>0</v>
      </c>
      <c r="AD570" s="1"/>
      <c r="AE570" s="353" t="s">
        <v>550</v>
      </c>
    </row>
    <row r="571" spans="1:31" ht="15" hidden="1" customHeight="1">
      <c r="A571" s="22" t="s">
        <v>2209</v>
      </c>
      <c r="B571" s="814" t="str">
        <f>'ADMININSTRACIÓN DIR - OBRA'!B575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'ADMININSTRACIÓN DIR - OBRA'!B576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'ADMININSTRACIÓN DIR - OBRA'!B577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'ADMININSTRACIÓN DIR - OBRA'!B578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3818</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'ADMININSTRACIÓN DIR - OBRA'!B579</f>
        <v>2018-2021</v>
      </c>
      <c r="C575" s="16">
        <f>OBRA!K577</f>
        <v>2021</v>
      </c>
      <c r="D575" s="1444"/>
      <c r="E575" s="17" t="str">
        <f>OBRA!N577</f>
        <v>CUENTA CORRIENTE</v>
      </c>
      <c r="F575" s="479" t="s">
        <v>1427</v>
      </c>
      <c r="G575" s="497" t="s">
        <v>4219</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3632</v>
      </c>
      <c r="P575" s="6">
        <f>OBRA!T577</f>
        <v>44242</v>
      </c>
      <c r="Q575" s="4">
        <f>OBRA!S577</f>
        <v>1127177.8999999999</v>
      </c>
      <c r="R575" s="5">
        <f>OBRA!U577</f>
        <v>44242</v>
      </c>
      <c r="S575" s="11">
        <f>OBRA!V577</f>
        <v>44332</v>
      </c>
      <c r="T575" s="208" t="s">
        <v>3818</v>
      </c>
      <c r="U575" s="62" t="s">
        <v>1427</v>
      </c>
      <c r="V575" s="500" t="s">
        <v>4219</v>
      </c>
      <c r="W575" s="589" t="s">
        <v>4219</v>
      </c>
      <c r="X575" s="1007">
        <f>OBRA!AS577</f>
        <v>494512.25999999995</v>
      </c>
      <c r="Y575" s="310"/>
      <c r="Z575" s="310"/>
      <c r="AA575" s="5"/>
      <c r="AB575" s="314"/>
      <c r="AC575" s="318">
        <f>OBRA!BX577</f>
        <v>0</v>
      </c>
      <c r="AD575" s="1"/>
      <c r="AE575" s="353" t="s">
        <v>550</v>
      </c>
    </row>
    <row r="576" spans="1:31" ht="153" hidden="1" customHeight="1">
      <c r="A576" s="22" t="s">
        <v>2209</v>
      </c>
      <c r="B576" s="814" t="str">
        <f>'ADMININSTRACIÓN DIR - OBRA'!B580</f>
        <v>2018-2021</v>
      </c>
      <c r="C576" s="16">
        <f>OBRA!K578</f>
        <v>2021</v>
      </c>
      <c r="D576" s="1444"/>
      <c r="E576" s="17" t="str">
        <f>OBRA!N578</f>
        <v>CUENTA CORRIENTE</v>
      </c>
      <c r="F576" s="479" t="s">
        <v>1427</v>
      </c>
      <c r="G576" s="497" t="s">
        <v>4147</v>
      </c>
      <c r="H576" s="511"/>
      <c r="I576" s="497" t="s">
        <v>4147</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3632</v>
      </c>
      <c r="P576" s="6">
        <f>OBRA!T578</f>
        <v>44242</v>
      </c>
      <c r="Q576" s="4">
        <f>OBRA!S578</f>
        <v>1311375.01</v>
      </c>
      <c r="R576" s="5">
        <f>OBRA!U578</f>
        <v>44242</v>
      </c>
      <c r="S576" s="11">
        <f>OBRA!V578</f>
        <v>44332</v>
      </c>
      <c r="T576" s="208" t="s">
        <v>3818</v>
      </c>
      <c r="U576" s="378" t="s">
        <v>1427</v>
      </c>
      <c r="V576" s="500" t="s">
        <v>4147</v>
      </c>
      <c r="W576" s="589" t="s">
        <v>4147</v>
      </c>
      <c r="X576" s="1006">
        <f>OBRA!AS578</f>
        <v>327843.75</v>
      </c>
      <c r="Y576" s="310"/>
      <c r="Z576" s="310"/>
      <c r="AA576" s="5"/>
      <c r="AB576" s="314"/>
      <c r="AC576" s="318">
        <f>OBRA!BX578</f>
        <v>0</v>
      </c>
      <c r="AD576" s="1"/>
      <c r="AE576" s="353"/>
    </row>
    <row r="577" spans="1:31" ht="58.5" hidden="1" customHeight="1">
      <c r="A577" s="22" t="s">
        <v>2209</v>
      </c>
      <c r="B577" s="814" t="str">
        <f>'ADMININSTRACIÓN DIR - OBRA'!B581</f>
        <v>2018-2021</v>
      </c>
      <c r="C577" s="16">
        <f>OBRA!K579</f>
        <v>2021</v>
      </c>
      <c r="D577" s="1444"/>
      <c r="E577" s="17" t="str">
        <f>OBRA!N579</f>
        <v>CUENTA CORRIENTE</v>
      </c>
      <c r="F577" s="479" t="s">
        <v>1427</v>
      </c>
      <c r="G577" s="497" t="s">
        <v>4293</v>
      </c>
      <c r="H577" s="496" t="s">
        <v>4293</v>
      </c>
      <c r="I577" s="497" t="s">
        <v>4293</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3632</v>
      </c>
      <c r="P577" s="6">
        <f>OBRA!T579</f>
        <v>44305</v>
      </c>
      <c r="Q577" s="4">
        <f>OBRA!S579</f>
        <v>347784.24</v>
      </c>
      <c r="R577" s="5">
        <f>OBRA!U579</f>
        <v>44378</v>
      </c>
      <c r="S577" s="11">
        <f>OBRA!V579</f>
        <v>44424</v>
      </c>
      <c r="T577" s="1381" t="s">
        <v>3818</v>
      </c>
      <c r="U577" s="378" t="s">
        <v>1427</v>
      </c>
      <c r="V577" s="500" t="s">
        <v>4293</v>
      </c>
      <c r="W577" s="589" t="s">
        <v>4293</v>
      </c>
      <c r="X577" s="1007">
        <f>OBRA!AS579</f>
        <v>121724.48</v>
      </c>
      <c r="Y577" s="310"/>
      <c r="Z577" s="310"/>
      <c r="AA577" s="5"/>
      <c r="AB577" s="314"/>
      <c r="AC577" s="318">
        <f>OBRA!BX579</f>
        <v>0</v>
      </c>
      <c r="AD577" s="1"/>
      <c r="AE577" s="353" t="s">
        <v>550</v>
      </c>
    </row>
    <row r="578" spans="1:31" ht="87.75" hidden="1" customHeight="1">
      <c r="A578" s="22" t="s">
        <v>2209</v>
      </c>
      <c r="B578" s="814" t="str">
        <f>'ADMININSTRACIÓN DIR - OBRA'!B582</f>
        <v>2018-2021</v>
      </c>
      <c r="C578" s="16">
        <f>OBRA!K580</f>
        <v>2021</v>
      </c>
      <c r="D578" s="1444"/>
      <c r="E578" s="17" t="str">
        <f>OBRA!N580</f>
        <v>CUENTA CORRIENTE</v>
      </c>
      <c r="F578" s="479" t="s">
        <v>1427</v>
      </c>
      <c r="G578" s="497" t="s">
        <v>4286</v>
      </c>
      <c r="H578" s="496" t="s">
        <v>4286</v>
      </c>
      <c r="I578" s="497" t="s">
        <v>4286</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3632</v>
      </c>
      <c r="P578" s="6">
        <f>OBRA!T580</f>
        <v>44308</v>
      </c>
      <c r="Q578" s="4">
        <f>OBRA!S580</f>
        <v>1083547.78</v>
      </c>
      <c r="R578" s="5">
        <f>OBRA!U580</f>
        <v>44322</v>
      </c>
      <c r="S578" s="11">
        <f>OBRA!V580</f>
        <v>44347</v>
      </c>
      <c r="T578" s="208" t="s">
        <v>3818</v>
      </c>
      <c r="U578" s="378" t="s">
        <v>1427</v>
      </c>
      <c r="V578" s="500" t="s">
        <v>4286</v>
      </c>
      <c r="W578" s="589" t="s">
        <v>4286</v>
      </c>
      <c r="X578" s="1007">
        <f>OBRA!AS580</f>
        <v>487596.5</v>
      </c>
      <c r="Y578" s="310"/>
      <c r="Z578" s="310"/>
      <c r="AA578" s="5"/>
      <c r="AB578" s="314"/>
      <c r="AC578" s="318">
        <f>OBRA!BX580</f>
        <v>0</v>
      </c>
      <c r="AD578" s="1"/>
      <c r="AE578" s="353" t="s">
        <v>550</v>
      </c>
    </row>
    <row r="579" spans="1:31" ht="62.25" hidden="1" customHeight="1">
      <c r="A579" s="22" t="s">
        <v>2209</v>
      </c>
      <c r="B579" s="814" t="str">
        <f>'ADMININSTRACIÓN DIR - OBRA'!B583</f>
        <v>2018-2021</v>
      </c>
      <c r="C579" s="16">
        <f>OBRA!K581</f>
        <v>2021</v>
      </c>
      <c r="D579" s="1444"/>
      <c r="E579" s="17" t="str">
        <f>OBRA!N581</f>
        <v>CUENTA CORRIENTE</v>
      </c>
      <c r="F579" s="479" t="s">
        <v>1427</v>
      </c>
      <c r="G579" s="497" t="s">
        <v>4297</v>
      </c>
      <c r="H579" s="891"/>
      <c r="I579" s="497" t="s">
        <v>4297</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3632</v>
      </c>
      <c r="P579" s="6">
        <f>OBRA!T581</f>
        <v>44440</v>
      </c>
      <c r="Q579" s="4">
        <f>OBRA!S581</f>
        <v>652301.56999999995</v>
      </c>
      <c r="R579" s="5">
        <f>OBRA!U581</f>
        <v>44445</v>
      </c>
      <c r="S579" s="11">
        <f>OBRA!V581</f>
        <v>44463</v>
      </c>
      <c r="T579" s="1381" t="s">
        <v>3818</v>
      </c>
      <c r="U579" s="62" t="s">
        <v>1427</v>
      </c>
      <c r="V579" s="500" t="s">
        <v>4297</v>
      </c>
      <c r="W579" s="589" t="s">
        <v>4297</v>
      </c>
      <c r="X579" s="1571">
        <f>OBRA!AS581</f>
        <v>293535.69</v>
      </c>
      <c r="Y579" s="1572" t="s">
        <v>4302</v>
      </c>
      <c r="Z579" s="310"/>
      <c r="AA579" s="5"/>
      <c r="AB579" s="314"/>
      <c r="AC579" s="318">
        <f>OBRA!BX581</f>
        <v>0</v>
      </c>
      <c r="AD579" s="1"/>
      <c r="AE579" s="353"/>
    </row>
    <row r="580" spans="1:31" ht="117" hidden="1" customHeight="1">
      <c r="A580" s="22" t="s">
        <v>2209</v>
      </c>
      <c r="B580" s="814" t="str">
        <f>'ADMININSTRACIÓN DIR - OBRA'!B584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3632</v>
      </c>
      <c r="P580" s="6">
        <f>OBRA!T582</f>
        <v>44454</v>
      </c>
      <c r="Q580" s="4">
        <f>OBRA!S582</f>
        <v>1137012.22</v>
      </c>
      <c r="R580" s="5">
        <f>OBRA!U582</f>
        <v>44456</v>
      </c>
      <c r="S580" s="11">
        <f>OBRA!V582</f>
        <v>44499</v>
      </c>
      <c r="T580" s="208" t="s">
        <v>3818</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'ADMININSTRACIÓN DIR - OBRA'!B585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'ADMININSTRACIÓN DIR - OBRA'!B586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'ADMININSTRACIÓN DIR - OBRA'!B587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'ADMININSTRACIÓN DIR - OBRA'!B588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'ADMININSTRACIÓN DIR - OBRA'!B589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'ADMININSTRACIÓN DIR - OBRA'!B590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'ADMININSTRACIÓN DIR - OBRA'!B591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'ADMININSTRACIÓN DIR - OBRA'!B592</f>
        <v>2021-2024</v>
      </c>
      <c r="C588" s="16">
        <f>OBRA!K590</f>
        <v>2021</v>
      </c>
      <c r="D588" s="1444"/>
      <c r="E588" s="17" t="str">
        <f>OBRA!N590</f>
        <v>CUENTA CORRIENTE</v>
      </c>
      <c r="F588" s="479" t="s">
        <v>1427</v>
      </c>
      <c r="G588" s="163"/>
      <c r="H588" s="496" t="s">
        <v>4220</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3801</v>
      </c>
      <c r="P588" s="6">
        <f>OBRA!T590</f>
        <v>44504</v>
      </c>
      <c r="Q588" s="4">
        <f>OBRA!S590</f>
        <v>715198.43</v>
      </c>
      <c r="R588" s="5">
        <f>OBRA!U590</f>
        <v>44508</v>
      </c>
      <c r="S588" s="11">
        <f>OBRA!V590</f>
        <v>44548</v>
      </c>
      <c r="T588" s="208" t="s">
        <v>3818</v>
      </c>
      <c r="U588" s="378" t="s">
        <v>1427</v>
      </c>
      <c r="V588" s="538"/>
      <c r="W588" s="589" t="s">
        <v>4220</v>
      </c>
      <c r="X588" s="1006">
        <f>OBRA!AS590</f>
        <v>143039.67999999999</v>
      </c>
      <c r="Y588" s="310"/>
      <c r="Z588" s="310"/>
      <c r="AA588" s="5"/>
      <c r="AB588" s="314"/>
      <c r="AC588" s="318">
        <f>OBRA!BX590</f>
        <v>0</v>
      </c>
      <c r="AD588" s="1"/>
      <c r="AE588" s="353"/>
    </row>
    <row r="589" spans="1:31" ht="129" hidden="1" customHeight="1">
      <c r="A589" s="22" t="s">
        <v>2209</v>
      </c>
      <c r="B589" s="814" t="str">
        <f>'ADMININSTRACIÓN DIR - OBRA'!B593</f>
        <v>2021-2024</v>
      </c>
      <c r="C589" s="16">
        <f>OBRA!K591</f>
        <v>2021</v>
      </c>
      <c r="D589" s="1444"/>
      <c r="E589" s="17" t="str">
        <f>OBRA!N591</f>
        <v>RAMO 33</v>
      </c>
      <c r="F589" s="479" t="s">
        <v>1427</v>
      </c>
      <c r="G589" s="497" t="s">
        <v>4207</v>
      </c>
      <c r="H589" s="496" t="s">
        <v>4207</v>
      </c>
      <c r="I589" s="497" t="s">
        <v>4207</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3801</v>
      </c>
      <c r="P589" s="67">
        <f>OBRA!T591</f>
        <v>44522</v>
      </c>
      <c r="Q589" s="79">
        <f>OBRA!S591</f>
        <v>347130.34</v>
      </c>
      <c r="R589" s="5">
        <f>OBRA!U591</f>
        <v>44523</v>
      </c>
      <c r="S589" s="11">
        <f>OBRA!V591</f>
        <v>44560</v>
      </c>
      <c r="T589" s="1381" t="s">
        <v>3819</v>
      </c>
      <c r="U589" s="62" t="s">
        <v>1427</v>
      </c>
      <c r="V589" s="500" t="s">
        <v>4207</v>
      </c>
      <c r="W589" s="589" t="s">
        <v>4207</v>
      </c>
      <c r="X589" s="1006">
        <f>OBRA!AS591</f>
        <v>34713.03</v>
      </c>
      <c r="Y589" s="310"/>
      <c r="Z589" s="310"/>
      <c r="AA589" s="5"/>
      <c r="AB589" s="314"/>
      <c r="AC589" s="318">
        <f>OBRA!BX591</f>
        <v>0</v>
      </c>
      <c r="AD589" s="1"/>
      <c r="AE589" s="353"/>
    </row>
    <row r="590" spans="1:31" ht="141" hidden="1" customHeight="1">
      <c r="A590" s="22" t="s">
        <v>2209</v>
      </c>
      <c r="B590" s="814" t="str">
        <f>'ADMININSTRACIÓN DIR - OBRA'!B594</f>
        <v>2021-2024</v>
      </c>
      <c r="C590" s="16">
        <f>OBRA!K592</f>
        <v>2021</v>
      </c>
      <c r="D590" s="1444"/>
      <c r="E590" s="17" t="str">
        <f>OBRA!N592</f>
        <v>RAMO 33</v>
      </c>
      <c r="F590" s="479" t="s">
        <v>1427</v>
      </c>
      <c r="G590" s="497" t="s">
        <v>4210</v>
      </c>
      <c r="H590" s="496" t="s">
        <v>4210</v>
      </c>
      <c r="I590" s="497" t="s">
        <v>4210</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3801</v>
      </c>
      <c r="P590" s="67">
        <f>OBRA!T592</f>
        <v>44522</v>
      </c>
      <c r="Q590" s="79">
        <f>OBRA!S592</f>
        <v>791064.19</v>
      </c>
      <c r="R590" s="5">
        <f>OBRA!U592</f>
        <v>44523</v>
      </c>
      <c r="S590" s="11">
        <f>OBRA!V592</f>
        <v>44530</v>
      </c>
      <c r="T590" s="1381" t="s">
        <v>3819</v>
      </c>
      <c r="U590" s="62" t="s">
        <v>1427</v>
      </c>
      <c r="V590" s="500" t="s">
        <v>4210</v>
      </c>
      <c r="W590" s="589" t="s">
        <v>4210</v>
      </c>
      <c r="X590" s="1006">
        <f>OBRA!AS592</f>
        <v>79106.41</v>
      </c>
      <c r="Y590" s="310"/>
      <c r="Z590" s="310"/>
      <c r="AA590" s="5"/>
      <c r="AB590" s="314"/>
      <c r="AC590" s="318">
        <f>OBRA!BX592</f>
        <v>0</v>
      </c>
      <c r="AD590" s="1"/>
      <c r="AE590" s="353"/>
    </row>
    <row r="591" spans="1:31" ht="83.25" hidden="1" customHeight="1">
      <c r="A591" s="22" t="s">
        <v>2209</v>
      </c>
      <c r="B591" s="814" t="str">
        <f>'ADMININSTRACIÓN DIR - OBRA'!B595</f>
        <v>2021-2024</v>
      </c>
      <c r="C591" s="16">
        <f>OBRA!K593</f>
        <v>2021</v>
      </c>
      <c r="D591" s="1444"/>
      <c r="E591" s="17" t="str">
        <f>OBRA!N593</f>
        <v>RAMO 33</v>
      </c>
      <c r="F591" s="479" t="s">
        <v>1427</v>
      </c>
      <c r="G591" s="497" t="s">
        <v>4283</v>
      </c>
      <c r="H591" s="496" t="s">
        <v>4213</v>
      </c>
      <c r="I591" s="497" t="s">
        <v>4213</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3801</v>
      </c>
      <c r="P591" s="6">
        <f>OBRA!T593</f>
        <v>44522</v>
      </c>
      <c r="Q591" s="4">
        <f>OBRA!S593</f>
        <v>100144.26</v>
      </c>
      <c r="R591" s="5">
        <f>OBRA!U593</f>
        <v>44524</v>
      </c>
      <c r="S591" s="11">
        <f>OBRA!V593</f>
        <v>44558</v>
      </c>
      <c r="T591" s="1381" t="s">
        <v>3819</v>
      </c>
      <c r="U591" s="62" t="s">
        <v>1427</v>
      </c>
      <c r="V591" s="500" t="s">
        <v>4213</v>
      </c>
      <c r="W591" s="589" t="s">
        <v>4213</v>
      </c>
      <c r="X591" s="1007">
        <f>OBRA!AS593</f>
        <v>20028.86</v>
      </c>
      <c r="Y591" s="310"/>
      <c r="Z591" s="310"/>
      <c r="AA591" s="5"/>
      <c r="AB591" s="314"/>
      <c r="AC591" s="318">
        <f>OBRA!BX593</f>
        <v>0</v>
      </c>
      <c r="AD591" s="1"/>
      <c r="AE591" s="353" t="s">
        <v>550</v>
      </c>
    </row>
    <row r="592" spans="1:31" ht="98.25" hidden="1" customHeight="1">
      <c r="A592" s="22" t="s">
        <v>2209</v>
      </c>
      <c r="B592" s="814" t="str">
        <f>'ADMININSTRACIÓN DIR - OBRA'!B596</f>
        <v>2021-2024</v>
      </c>
      <c r="C592" s="16">
        <f>OBRA!K594</f>
        <v>2021</v>
      </c>
      <c r="D592" s="1444"/>
      <c r="E592" s="17" t="str">
        <f>OBRA!N594</f>
        <v>RAMO 33</v>
      </c>
      <c r="F592" s="479" t="s">
        <v>1427</v>
      </c>
      <c r="G592" s="497" t="s">
        <v>4215</v>
      </c>
      <c r="H592" s="496" t="s">
        <v>4215</v>
      </c>
      <c r="I592" s="497" t="s">
        <v>4215</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3801</v>
      </c>
      <c r="P592" s="6">
        <f>OBRA!T594</f>
        <v>44522</v>
      </c>
      <c r="Q592" s="4">
        <f>OBRA!S594</f>
        <v>252763.45</v>
      </c>
      <c r="R592" s="5">
        <f>OBRA!U594</f>
        <v>44523</v>
      </c>
      <c r="S592" s="11">
        <f>OBRA!V594</f>
        <v>44559</v>
      </c>
      <c r="T592" s="1381" t="s">
        <v>3819</v>
      </c>
      <c r="U592" s="62" t="s">
        <v>1427</v>
      </c>
      <c r="V592" s="500" t="s">
        <v>4215</v>
      </c>
      <c r="W592" s="589" t="s">
        <v>4215</v>
      </c>
      <c r="X592" s="1007">
        <f>OBRA!AS594</f>
        <v>50552.68</v>
      </c>
      <c r="Y592" s="310"/>
      <c r="Z592" s="310"/>
      <c r="AA592" s="5"/>
      <c r="AB592" s="314"/>
      <c r="AC592" s="318">
        <f>OBRA!BX594</f>
        <v>0</v>
      </c>
      <c r="AD592" s="1"/>
      <c r="AE592" s="353" t="s">
        <v>550</v>
      </c>
    </row>
    <row r="593" spans="1:31" ht="102" hidden="1" customHeight="1">
      <c r="A593" s="22" t="s">
        <v>2209</v>
      </c>
      <c r="B593" s="814" t="str">
        <f>'ADMININSTRACIÓN DIR - OBRA'!B597</f>
        <v>2021-2024</v>
      </c>
      <c r="C593" s="16">
        <f>OBRA!K595</f>
        <v>2021</v>
      </c>
      <c r="D593" s="1444"/>
      <c r="E593" s="17" t="str">
        <f>OBRA!N595</f>
        <v>CUENTA CORRIENTE</v>
      </c>
      <c r="F593" s="479" t="s">
        <v>1427</v>
      </c>
      <c r="G593" s="497" t="s">
        <v>4283</v>
      </c>
      <c r="H593" s="496" t="s">
        <v>4283</v>
      </c>
      <c r="I593" s="497" t="s">
        <v>4283</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3801</v>
      </c>
      <c r="P593" s="6">
        <f>OBRA!T595</f>
        <v>44560</v>
      </c>
      <c r="Q593" s="4">
        <f>OBRA!S595</f>
        <v>360015.52</v>
      </c>
      <c r="R593" s="5">
        <f>OBRA!U595</f>
        <v>44560</v>
      </c>
      <c r="S593" s="11">
        <f>OBRA!V595</f>
        <v>44569</v>
      </c>
      <c r="T593" s="208" t="s">
        <v>3818</v>
      </c>
      <c r="U593" s="378" t="s">
        <v>1427</v>
      </c>
      <c r="V593" s="500" t="s">
        <v>4283</v>
      </c>
      <c r="W593" s="589" t="s">
        <v>4283</v>
      </c>
      <c r="X593" s="1007">
        <f>OBRA!AS595</f>
        <v>72003.100000000006</v>
      </c>
      <c r="Y593" s="310"/>
      <c r="Z593" s="310"/>
      <c r="AA593" s="5"/>
      <c r="AB593" s="314"/>
      <c r="AC593" s="318">
        <f>OBRA!BX595</f>
        <v>0</v>
      </c>
      <c r="AD593" s="1"/>
      <c r="AE593" s="353" t="s">
        <v>550</v>
      </c>
    </row>
    <row r="594" spans="1:31" ht="15" hidden="1" customHeight="1">
      <c r="A594" s="22" t="s">
        <v>2209</v>
      </c>
      <c r="B594" s="814" t="str">
        <f>'ADMININSTRACIÓN DIR - OBRA'!B598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'ADMININSTRACIÓN DIR - OBRA'!B599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'ADMININSTRACIÓN DIR - OBRA'!B600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'ADMININSTRACIÓN DIR - OBRA'!B601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'ADMININSTRACIÓN DIR - OBRA'!B602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'ADMININSTRACIÓN DIR - OBRA'!B603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'ADMININSTRACIÓN DIR - OBRA'!B604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'ADMININSTRACIÓN DIR - OBRA'!B605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'ADMININSTRACIÓN DIR - OBRA'!B606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'ADMININSTRACIÓN DIR - OBRA'!B607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'ADMININSTRACIÓN DIR - OBRA'!B608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'ADMININSTRACIÓN DIR - OBRA'!B609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'ADMININSTRACIÓN DIR - OBRA'!B610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'ADMININSTRACIÓN DIR - OBRA'!B611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'ADMININSTRACIÓN DIR - OBRA'!B612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'ADMININSTRACIÓN DIR - OBRA'!B613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'ADMININSTRACIÓN DIR - OBRA'!B614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'ADMININSTRACIÓN DIR - OBRA'!B615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'ADMININSTRACIÓN DIR - OBRA'!B616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'ADMININSTRACIÓN DIR - OBRA'!B617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'ADMININSTRACIÓN DIR - OBRA'!B618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'ADMININSTRACIÓN DIR - OBRA'!B619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'ADMININSTRACIÓN DIR - OBRA'!B620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'ADMININSTRACIÓN DIR - OBRA'!B621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'ADMININSTRACIÓN DIR - OBRA'!B622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'ADMININSTRACIÓN DIR - OBRA'!B623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'ADMININSTRACIÓN DIR - OBRA'!B624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'ADMININSTRACIÓN DIR - OBRA'!B625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'ADMININSTRACIÓN DIR - OBRA'!B626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'ADMININSTRACIÓN DIR - OBRA'!B627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'ADMININSTRACIÓN DIR - OBRA'!B628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'ADMININSTRACIÓN DIR - OBRA'!B629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'ADMININSTRACIÓN DIR - OBRA'!B630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'ADMININSTRACIÓN DIR - OBRA'!B631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'ADMININSTRACIÓN DIR - OBRA'!B632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'ADMININSTRACIÓN DIR - OBRA'!B633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'ADMININSTRACIÓN DIR - OBRA'!B634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'ADMININSTRACIÓN DIR - OBRA'!B635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'ADMININSTRACIÓN DIR - OBRA'!B636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'ADMININSTRACIÓN DIR - OBRA'!B637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c r="A634" s="22" t="s">
        <v>2209</v>
      </c>
      <c r="B634" s="814" t="str">
        <f>'ADMININSTRACIÓN DIR - OBRA'!B638</f>
        <v>2021-2024</v>
      </c>
      <c r="C634" s="16">
        <f>OBRA!K636</f>
        <v>2022</v>
      </c>
      <c r="D634" s="1444"/>
      <c r="E634" s="17" t="str">
        <f>OBRA!N636</f>
        <v>RAMO 33</v>
      </c>
      <c r="F634" s="1267" t="s">
        <v>1427</v>
      </c>
      <c r="G634" s="497" t="s">
        <v>4563</v>
      </c>
      <c r="H634" s="496" t="s">
        <v>4563</v>
      </c>
      <c r="I634" s="497" t="s">
        <v>4563</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4476</v>
      </c>
      <c r="P634" s="6">
        <f>OBRA!T636</f>
        <v>44628</v>
      </c>
      <c r="Q634" s="4">
        <f>OBRA!S636</f>
        <v>98067.87</v>
      </c>
      <c r="R634" s="5">
        <f>OBRA!U636</f>
        <v>44634</v>
      </c>
      <c r="S634" s="11">
        <f>OBRA!V636</f>
        <v>44639</v>
      </c>
      <c r="T634" s="1596" t="s">
        <v>4448</v>
      </c>
      <c r="U634" s="1639" t="s">
        <v>4563</v>
      </c>
      <c r="V634" s="500" t="s">
        <v>4563</v>
      </c>
      <c r="W634" s="589" t="s">
        <v>4563</v>
      </c>
      <c r="X634" s="1005">
        <f>OBRA!AS636</f>
        <v>19613.560000000001</v>
      </c>
      <c r="Y634" s="310"/>
      <c r="Z634" s="310"/>
      <c r="AA634" s="4"/>
      <c r="AB634" s="1955"/>
      <c r="AC634" s="318">
        <f>OBRA!BX636</f>
        <v>0</v>
      </c>
      <c r="AD634" s="1"/>
      <c r="AE634" s="353" t="s">
        <v>550</v>
      </c>
    </row>
    <row r="635" spans="1:31" ht="96.75" customHeight="1">
      <c r="A635" s="22" t="s">
        <v>2209</v>
      </c>
      <c r="B635" s="814" t="str">
        <f>'ADMININSTRACIÓN DIR - OBRA'!B639</f>
        <v>2021-2024</v>
      </c>
      <c r="C635" s="16">
        <f>OBRA!K637</f>
        <v>2022</v>
      </c>
      <c r="D635" s="1444"/>
      <c r="E635" s="17" t="str">
        <f>OBRA!N637</f>
        <v>RAMO 33</v>
      </c>
      <c r="F635" s="1267" t="s">
        <v>1427</v>
      </c>
      <c r="G635" s="1630" t="s">
        <v>4564</v>
      </c>
      <c r="H635" s="496" t="s">
        <v>4564</v>
      </c>
      <c r="I635" s="697" t="s">
        <v>4564</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4476</v>
      </c>
      <c r="P635" s="6">
        <f>OBRA!T637</f>
        <v>44628</v>
      </c>
      <c r="Q635" s="4">
        <f>OBRA!S637</f>
        <v>160513.82999999999</v>
      </c>
      <c r="R635" s="5">
        <f>OBRA!U637</f>
        <v>44634</v>
      </c>
      <c r="S635" s="11">
        <f>OBRA!V637</f>
        <v>44653</v>
      </c>
      <c r="T635" s="1596" t="s">
        <v>4448</v>
      </c>
      <c r="U635" s="1639" t="s">
        <v>4564</v>
      </c>
      <c r="V635" s="500" t="s">
        <v>4564</v>
      </c>
      <c r="W635" s="589" t="s">
        <v>4564</v>
      </c>
      <c r="X635" s="1005">
        <f>OBRA!AS637</f>
        <v>32102.76</v>
      </c>
      <c r="Y635" s="310"/>
      <c r="Z635" s="310"/>
      <c r="AA635" s="4"/>
      <c r="AB635" s="1955"/>
      <c r="AC635" s="318">
        <f>OBRA!BX637</f>
        <v>0</v>
      </c>
      <c r="AD635" s="1"/>
      <c r="AE635" s="353" t="s">
        <v>550</v>
      </c>
    </row>
    <row r="636" spans="1:31" ht="97.5" customHeight="1">
      <c r="A636" s="22" t="s">
        <v>2209</v>
      </c>
      <c r="B636" s="814" t="str">
        <f>'ADMININSTRACIÓN DIR - OBRA'!B640</f>
        <v>2021-2024</v>
      </c>
      <c r="C636" s="16">
        <f>OBRA!K638</f>
        <v>2022</v>
      </c>
      <c r="D636" s="1444"/>
      <c r="E636" s="17" t="str">
        <f>OBRA!N638</f>
        <v>RAMO 33</v>
      </c>
      <c r="F636" s="1267" t="s">
        <v>1427</v>
      </c>
      <c r="G636" s="1630" t="s">
        <v>4565</v>
      </c>
      <c r="H636" s="496" t="s">
        <v>4565</v>
      </c>
      <c r="I636" s="697" t="s">
        <v>4565</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4476</v>
      </c>
      <c r="P636" s="6">
        <f>OBRA!T638</f>
        <v>44628</v>
      </c>
      <c r="Q636" s="4">
        <f>OBRA!S638</f>
        <v>236056.39</v>
      </c>
      <c r="R636" s="5">
        <f>OBRA!U638</f>
        <v>44634</v>
      </c>
      <c r="S636" s="11">
        <f>OBRA!V638</f>
        <v>44653</v>
      </c>
      <c r="T636" s="1596" t="s">
        <v>4448</v>
      </c>
      <c r="U636" s="1639" t="s">
        <v>4565</v>
      </c>
      <c r="V636" s="500" t="s">
        <v>4565</v>
      </c>
      <c r="W636" s="1255"/>
      <c r="X636" s="1007">
        <f>OBRA!AS638</f>
        <v>23605.64</v>
      </c>
      <c r="Y636" s="1691" t="s">
        <v>4565</v>
      </c>
      <c r="Z636" s="310">
        <v>44650</v>
      </c>
      <c r="AA636" s="4">
        <v>59014.07</v>
      </c>
      <c r="AB636" s="1955"/>
      <c r="AC636" s="318">
        <f>OBRA!BX638</f>
        <v>0</v>
      </c>
      <c r="AD636" s="2" t="s">
        <v>5021</v>
      </c>
      <c r="AE636" s="353" t="s">
        <v>5019</v>
      </c>
    </row>
    <row r="637" spans="1:31" ht="199.5" customHeight="1">
      <c r="A637" s="22" t="s">
        <v>2209</v>
      </c>
      <c r="B637" s="814" t="str">
        <f>'ADMININSTRACIÓN DIR - OBRA'!B641</f>
        <v>2021-2024</v>
      </c>
      <c r="C637" s="16">
        <f>OBRA!K639</f>
        <v>2022</v>
      </c>
      <c r="D637" s="1444"/>
      <c r="E637" s="17" t="str">
        <f>OBRA!N639</f>
        <v>RAMO 33</v>
      </c>
      <c r="F637" s="1267" t="s">
        <v>1427</v>
      </c>
      <c r="G637" s="1630" t="s">
        <v>4605</v>
      </c>
      <c r="H637" s="416" t="s">
        <v>4605</v>
      </c>
      <c r="I637" s="417" t="s">
        <v>4605</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4476</v>
      </c>
      <c r="P637" s="6">
        <f>OBRA!T639</f>
        <v>44690</v>
      </c>
      <c r="Q637" s="4">
        <f>OBRA!S639</f>
        <v>2031883.8</v>
      </c>
      <c r="R637" s="5">
        <f>OBRA!U639</f>
        <v>44692</v>
      </c>
      <c r="S637" s="11">
        <f>OBRA!V639</f>
        <v>44765</v>
      </c>
      <c r="T637" s="1596" t="s">
        <v>4448</v>
      </c>
      <c r="U637" s="651" t="s">
        <v>4605</v>
      </c>
      <c r="V637" s="500" t="s">
        <v>5022</v>
      </c>
      <c r="W637" s="589" t="s">
        <v>4605</v>
      </c>
      <c r="X637" s="1005">
        <f>OBRA!AS639</f>
        <v>914347.71000000008</v>
      </c>
      <c r="Y637" s="310"/>
      <c r="Z637" s="310"/>
      <c r="AA637" s="4"/>
      <c r="AB637" s="1955"/>
      <c r="AC637" s="318">
        <f>OBRA!BX639</f>
        <v>0</v>
      </c>
      <c r="AD637" s="1"/>
      <c r="AE637" s="353" t="s">
        <v>550</v>
      </c>
    </row>
    <row r="638" spans="1:31" ht="81.75" customHeight="1">
      <c r="A638" s="22" t="s">
        <v>2209</v>
      </c>
      <c r="B638" s="814" t="str">
        <f>'ADMININSTRACIÓN DIR - OBRA'!B642</f>
        <v>2021-2024</v>
      </c>
      <c r="C638" s="16">
        <f>OBRA!K640</f>
        <v>2022</v>
      </c>
      <c r="D638" s="1444"/>
      <c r="E638" s="17" t="str">
        <f>OBRA!N640</f>
        <v>CUENTA CORRIENTE</v>
      </c>
      <c r="F638" s="1267" t="s">
        <v>1427</v>
      </c>
      <c r="G638" s="1630" t="s">
        <v>4608</v>
      </c>
      <c r="H638" s="416" t="s">
        <v>4608</v>
      </c>
      <c r="I638" s="417" t="s">
        <v>4608</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4476</v>
      </c>
      <c r="P638" s="6">
        <f>OBRA!T640</f>
        <v>44704</v>
      </c>
      <c r="Q638" s="4">
        <f>OBRA!S640</f>
        <v>793754.52</v>
      </c>
      <c r="R638" s="5">
        <f>OBRA!U640</f>
        <v>44705</v>
      </c>
      <c r="S638" s="11">
        <f>OBRA!V640</f>
        <v>44712</v>
      </c>
      <c r="T638" s="1754" t="s">
        <v>4448</v>
      </c>
      <c r="U638" s="1616" t="s">
        <v>1427</v>
      </c>
      <c r="V638" s="1632" t="s">
        <v>4608</v>
      </c>
      <c r="W638" s="1631" t="s">
        <v>4608</v>
      </c>
      <c r="X638" s="1005">
        <f>OBRA!AS640</f>
        <v>79375.45</v>
      </c>
      <c r="Y638" s="310"/>
      <c r="Z638" s="310"/>
      <c r="AA638" s="4"/>
      <c r="AB638" s="1955"/>
      <c r="AC638" s="318">
        <f>OBRA!BX640</f>
        <v>0</v>
      </c>
      <c r="AD638" s="1"/>
      <c r="AE638" s="353" t="s">
        <v>550</v>
      </c>
    </row>
    <row r="639" spans="1:31" ht="100.5" customHeight="1">
      <c r="A639" s="22" t="s">
        <v>2209</v>
      </c>
      <c r="B639" s="814" t="str">
        <f>'ADMININSTRACIÓN DIR - OBRA'!B643</f>
        <v>2021-2024</v>
      </c>
      <c r="C639" s="16">
        <f>OBRA!K641</f>
        <v>2022</v>
      </c>
      <c r="D639" s="1444"/>
      <c r="E639" s="17" t="str">
        <f>OBRA!N641</f>
        <v>RAMO 33</v>
      </c>
      <c r="F639" s="1267" t="s">
        <v>1427</v>
      </c>
      <c r="G639" s="1630" t="s">
        <v>4610</v>
      </c>
      <c r="H639" s="416" t="s">
        <v>4610</v>
      </c>
      <c r="I639" s="417" t="s">
        <v>4610</v>
      </c>
      <c r="J639" s="33" t="str">
        <f>OBRA!X641</f>
        <v>TERRACERÍAS Y PAVIMENTOS DE LA RIBERA, S.A. DE C.V.</v>
      </c>
      <c r="K639" s="156" t="str">
        <f>OBRA!Y641</f>
        <v>C. DANIEL RODRIGUEZ VALENZUELA</v>
      </c>
      <c r="L639" s="242" t="str">
        <f>OBRA!O641</f>
        <v>GMJ 006 C-OP/2022</v>
      </c>
      <c r="M639" s="389" t="str">
        <f>OBRA!P641</f>
        <v>ADJUDICACIÓN DIRECTA</v>
      </c>
      <c r="N639" s="674" t="str">
        <f>OBRA!Q641</f>
        <v>"REHABILITACIÓN DE ANDADOR, MURO DE CONTECIÓN Y ALUMBRADO PÚBLICO EN ANDADOR MORELOS ENTRE C. RIVERA DEL LAGO Y MALECÓN", EN LA LOCALIDAD DE NEXTIPAC, DEL MUNICIPIO DE JOCTEPEC, JALISCO.</v>
      </c>
      <c r="O639" s="1629" t="s">
        <v>4476</v>
      </c>
      <c r="P639" s="661">
        <f>OBRA!T641</f>
        <v>44704</v>
      </c>
      <c r="Q639" s="197">
        <f>OBRA!S641</f>
        <v>579637.71</v>
      </c>
      <c r="R639" s="58">
        <f>OBRA!U641</f>
        <v>44712</v>
      </c>
      <c r="S639" s="59">
        <f>OBRA!V641</f>
        <v>44722</v>
      </c>
      <c r="T639" s="208" t="s">
        <v>4448</v>
      </c>
      <c r="U639" s="651" t="s">
        <v>4610</v>
      </c>
      <c r="V639" s="500" t="s">
        <v>4610</v>
      </c>
      <c r="W639" s="589" t="s">
        <v>4610</v>
      </c>
      <c r="X639" s="1005">
        <f>OBRA!AS641</f>
        <v>57963.77</v>
      </c>
      <c r="Y639" s="310"/>
      <c r="Z639" s="310"/>
      <c r="AA639" s="4"/>
      <c r="AB639" s="1955"/>
      <c r="AC639" s="318">
        <f>OBRA!BX641</f>
        <v>0</v>
      </c>
      <c r="AD639" s="1"/>
      <c r="AE639" s="353" t="s">
        <v>550</v>
      </c>
    </row>
    <row r="640" spans="1:31" ht="96.75" customHeight="1">
      <c r="A640" s="22" t="s">
        <v>2209</v>
      </c>
      <c r="B640" s="814" t="str">
        <f>'ADMININSTRACIÓN DIR - OBRA'!B644</f>
        <v>2021-2024</v>
      </c>
      <c r="C640" s="16">
        <f>OBRA!K642</f>
        <v>2022</v>
      </c>
      <c r="D640" s="1444"/>
      <c r="E640" s="17" t="str">
        <f>OBRA!N642</f>
        <v>RAMO 33</v>
      </c>
      <c r="F640" s="1267" t="s">
        <v>1427</v>
      </c>
      <c r="G640" s="497" t="s">
        <v>4567</v>
      </c>
      <c r="H640" s="496" t="s">
        <v>4567</v>
      </c>
      <c r="I640" s="697" t="s">
        <v>4567</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4476</v>
      </c>
      <c r="P640" s="6">
        <f>OBRA!T642</f>
        <v>44704</v>
      </c>
      <c r="Q640" s="4">
        <f>OBRA!S642</f>
        <v>627108.43000000005</v>
      </c>
      <c r="R640" s="5">
        <f>OBRA!U642</f>
        <v>44705</v>
      </c>
      <c r="S640" s="11">
        <f>OBRA!V642</f>
        <v>44742</v>
      </c>
      <c r="T640" s="1596" t="s">
        <v>4448</v>
      </c>
      <c r="U640" s="1615"/>
      <c r="V640" s="500" t="s">
        <v>4567</v>
      </c>
      <c r="W640" s="589" t="s">
        <v>4567</v>
      </c>
      <c r="X640" s="1005">
        <f>OBRA!AS642</f>
        <v>125421.68</v>
      </c>
      <c r="Y640" s="310"/>
      <c r="Z640" s="310"/>
      <c r="AA640" s="4"/>
      <c r="AB640" s="1955"/>
      <c r="AC640" s="318">
        <f>OBRA!BX642</f>
        <v>0</v>
      </c>
      <c r="AD640" s="1"/>
      <c r="AE640" s="353" t="s">
        <v>5019</v>
      </c>
    </row>
    <row r="641" spans="1:31" ht="103.5" customHeight="1">
      <c r="A641" s="22" t="s">
        <v>2209</v>
      </c>
      <c r="B641" s="814" t="str">
        <f>'ADMININSTRACIÓN DIR - OBRA'!B645</f>
        <v>2021-2024</v>
      </c>
      <c r="C641" s="16">
        <f>OBRA!K643</f>
        <v>2022</v>
      </c>
      <c r="D641" s="1444"/>
      <c r="E641" s="17" t="str">
        <f>OBRA!N643</f>
        <v>RAMO 33</v>
      </c>
      <c r="F641" s="1267" t="s">
        <v>1427</v>
      </c>
      <c r="G641" s="497" t="s">
        <v>4568</v>
      </c>
      <c r="H641" s="496" t="s">
        <v>4568</v>
      </c>
      <c r="I641" s="697" t="s">
        <v>4568</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4476</v>
      </c>
      <c r="P641" s="6">
        <f>OBRA!T643</f>
        <v>44707</v>
      </c>
      <c r="Q641" s="4">
        <f>OBRA!S643</f>
        <v>168470.35</v>
      </c>
      <c r="R641" s="5">
        <f>OBRA!U643</f>
        <v>44711</v>
      </c>
      <c r="S641" s="11">
        <f>OBRA!V643</f>
        <v>44722</v>
      </c>
      <c r="T641" s="1596" t="s">
        <v>4448</v>
      </c>
      <c r="U641" s="1615"/>
      <c r="V641" s="500" t="s">
        <v>4568</v>
      </c>
      <c r="W641" s="1631" t="s">
        <v>4568</v>
      </c>
      <c r="X641" s="1005">
        <f>OBRA!AS643</f>
        <v>33694.06</v>
      </c>
      <c r="Y641" s="310"/>
      <c r="Z641" s="310"/>
      <c r="AA641" s="4"/>
      <c r="AB641" s="1955"/>
      <c r="AC641" s="318">
        <f>OBRA!BX643</f>
        <v>0</v>
      </c>
      <c r="AD641" s="1"/>
      <c r="AE641" s="353" t="s">
        <v>5019</v>
      </c>
    </row>
    <row r="642" spans="1:31" ht="95.25" customHeight="1">
      <c r="A642" s="22" t="s">
        <v>2209</v>
      </c>
      <c r="B642" s="814" t="str">
        <f>'ADMININSTRACIÓN DIR - OBRA'!B646</f>
        <v>2021-2024</v>
      </c>
      <c r="C642" s="16">
        <f>OBRA!K644</f>
        <v>2022</v>
      </c>
      <c r="D642" s="1444"/>
      <c r="E642" s="17" t="str">
        <f>OBRA!N644</f>
        <v>RAMO 33</v>
      </c>
      <c r="F642" s="1267" t="s">
        <v>1427</v>
      </c>
      <c r="G642" s="497" t="s">
        <v>4569</v>
      </c>
      <c r="H642" s="496" t="s">
        <v>4569</v>
      </c>
      <c r="I642" s="697" t="s">
        <v>4569</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4476</v>
      </c>
      <c r="P642" s="6">
        <f>OBRA!T644</f>
        <v>44736</v>
      </c>
      <c r="Q642" s="4">
        <f>OBRA!S644</f>
        <v>809084.8</v>
      </c>
      <c r="R642" s="5">
        <f>OBRA!U644</f>
        <v>44760</v>
      </c>
      <c r="S642" s="11">
        <f>OBRA!V644</f>
        <v>44804</v>
      </c>
      <c r="T642" s="1596" t="s">
        <v>4448</v>
      </c>
      <c r="U642" s="1639" t="s">
        <v>4569</v>
      </c>
      <c r="V642" s="579"/>
      <c r="W642" s="1631" t="s">
        <v>4569</v>
      </c>
      <c r="X642" s="1005">
        <f>OBRA!AS644</f>
        <v>80908.479999999996</v>
      </c>
      <c r="Y642" s="310"/>
      <c r="Z642" s="310"/>
      <c r="AA642" s="4"/>
      <c r="AB642" s="1955"/>
      <c r="AC642" s="318">
        <f>OBRA!BX644</f>
        <v>0</v>
      </c>
      <c r="AD642" s="1"/>
      <c r="AE642" s="353" t="s">
        <v>5019</v>
      </c>
    </row>
    <row r="643" spans="1:31" ht="114.75" customHeight="1">
      <c r="A643" s="22" t="s">
        <v>2209</v>
      </c>
      <c r="B643" s="814" t="str">
        <f>'ADMININSTRACIÓN DIR - OBRA'!B647</f>
        <v>2021-2024</v>
      </c>
      <c r="C643" s="16">
        <f>OBRA!K645</f>
        <v>2022</v>
      </c>
      <c r="D643" s="1444"/>
      <c r="E643" s="17" t="str">
        <f>OBRA!N645</f>
        <v>RAMO 33</v>
      </c>
      <c r="F643" s="1267" t="s">
        <v>1427</v>
      </c>
      <c r="G643" s="1630" t="s">
        <v>4615</v>
      </c>
      <c r="H643" s="416" t="s">
        <v>4615</v>
      </c>
      <c r="I643" s="417" t="s">
        <v>4615</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4476</v>
      </c>
      <c r="P643" s="6">
        <f>OBRA!T645</f>
        <v>44763</v>
      </c>
      <c r="Q643" s="4">
        <f>OBRA!S645</f>
        <v>1697255.04</v>
      </c>
      <c r="R643" s="5">
        <f>OBRA!U645</f>
        <v>44767</v>
      </c>
      <c r="S643" s="11">
        <f>OBRA!V645</f>
        <v>44814</v>
      </c>
      <c r="T643" s="1596" t="s">
        <v>4448</v>
      </c>
      <c r="U643" s="1639" t="s">
        <v>4615</v>
      </c>
      <c r="V643" s="1632" t="s">
        <v>4615</v>
      </c>
      <c r="W643" s="1631" t="s">
        <v>4615</v>
      </c>
      <c r="X643" s="1005">
        <f>OBRA!AS645</f>
        <v>848627.51</v>
      </c>
      <c r="Y643" s="310"/>
      <c r="Z643" s="310"/>
      <c r="AA643" s="4"/>
      <c r="AB643" s="1955"/>
      <c r="AC643" s="318">
        <f>OBRA!BX645</f>
        <v>0</v>
      </c>
      <c r="AD643" s="1"/>
      <c r="AE643" s="353" t="s">
        <v>550</v>
      </c>
    </row>
    <row r="644" spans="1:31" ht="101.25" customHeight="1">
      <c r="A644" s="22" t="s">
        <v>2209</v>
      </c>
      <c r="B644" s="814" t="str">
        <f>'ADMININSTRACIÓN DIR - OBRA'!B648</f>
        <v>2021-2024</v>
      </c>
      <c r="C644" s="16">
        <f>OBRA!K646</f>
        <v>2022</v>
      </c>
      <c r="D644" s="1444"/>
      <c r="E644" s="17" t="str">
        <f>OBRA!N646</f>
        <v>CUENTA CORRIENTE</v>
      </c>
      <c r="F644" s="1267" t="s">
        <v>1427</v>
      </c>
      <c r="G644" s="1630" t="s">
        <v>4616</v>
      </c>
      <c r="H644" s="416" t="s">
        <v>4616</v>
      </c>
      <c r="I644" s="417" t="s">
        <v>4616</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4566</v>
      </c>
      <c r="P644" s="6">
        <f>OBRA!T646</f>
        <v>44767</v>
      </c>
      <c r="Q644" s="4">
        <f>OBRA!S646</f>
        <v>1343062.53</v>
      </c>
      <c r="R644" s="5">
        <f>OBRA!U646</f>
        <v>44770</v>
      </c>
      <c r="S644" s="11">
        <f>OBRA!V646</f>
        <v>44814</v>
      </c>
      <c r="T644" s="1596" t="s">
        <v>4449</v>
      </c>
      <c r="U644" s="1616" t="s">
        <v>1427</v>
      </c>
      <c r="V644" s="579"/>
      <c r="W644" s="1255"/>
      <c r="X644" s="1005">
        <f>OBRA!AS646</f>
        <v>671531.25</v>
      </c>
      <c r="Y644" s="310"/>
      <c r="Z644" s="310"/>
      <c r="AA644" s="4"/>
      <c r="AB644" s="1955"/>
      <c r="AC644" s="318">
        <f>OBRA!BX646</f>
        <v>0</v>
      </c>
      <c r="AD644" s="1"/>
      <c r="AE644" s="353"/>
    </row>
    <row r="645" spans="1:31" ht="65.25" customHeight="1">
      <c r="A645" s="22" t="s">
        <v>2209</v>
      </c>
      <c r="B645" s="814" t="str">
        <f>'ADMININSTRACIÓN DIR - OBRA'!B649</f>
        <v>2021-2024</v>
      </c>
      <c r="C645" s="16">
        <f>OBRA!K647</f>
        <v>2022</v>
      </c>
      <c r="D645" s="1444"/>
      <c r="E645" s="17" t="str">
        <f>OBRA!N647</f>
        <v>CUENTA CORRIENTE</v>
      </c>
      <c r="F645" s="1267" t="s">
        <v>1427</v>
      </c>
      <c r="G645" s="1630" t="s">
        <v>4617</v>
      </c>
      <c r="H645" s="416" t="s">
        <v>4617</v>
      </c>
      <c r="I645" s="417" t="s">
        <v>4617</v>
      </c>
      <c r="J645" s="1614"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4566</v>
      </c>
      <c r="P645" s="6">
        <f>OBRA!T647</f>
        <v>44816</v>
      </c>
      <c r="Q645" s="4">
        <f>OBRA!S647</f>
        <v>85733.34</v>
      </c>
      <c r="R645" s="5">
        <f>OBRA!U647</f>
        <v>44817</v>
      </c>
      <c r="S645" s="11">
        <f>OBRA!V647</f>
        <v>44834</v>
      </c>
      <c r="T645" s="1596" t="s">
        <v>4449</v>
      </c>
      <c r="U645" s="1616" t="s">
        <v>1427</v>
      </c>
      <c r="V645" s="579"/>
      <c r="W645" s="1255"/>
      <c r="X645" s="1584">
        <f>OBRA!AS647</f>
        <v>0</v>
      </c>
      <c r="Y645" s="310"/>
      <c r="Z645" s="310"/>
      <c r="AA645" s="4"/>
      <c r="AB645" s="1955"/>
      <c r="AC645" s="318">
        <f>OBRA!BX647</f>
        <v>0</v>
      </c>
      <c r="AD645" s="1"/>
      <c r="AE645" s="353"/>
    </row>
    <row r="646" spans="1:31" ht="15" hidden="1" customHeight="1">
      <c r="A646" s="22" t="s">
        <v>2209</v>
      </c>
      <c r="B646" s="814" t="str">
        <f>'ADMININSTRACIÓN DIR - OBRA'!B650</f>
        <v>2021-2024</v>
      </c>
      <c r="C646" s="16">
        <f>OBRA!K648</f>
        <v>2022</v>
      </c>
      <c r="D646" s="1444"/>
      <c r="E646" s="17" t="str">
        <f>OBRA!N648</f>
        <v>RAMO 33</v>
      </c>
      <c r="F646" s="1194"/>
      <c r="G646" s="497"/>
      <c r="H646" s="891"/>
      <c r="I646" s="1259"/>
      <c r="J646" s="1614"/>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4">
        <f>OBRA!AS648</f>
        <v>2115489.1800000002</v>
      </c>
      <c r="Y646" s="310"/>
      <c r="Z646" s="310"/>
      <c r="AA646" s="5"/>
      <c r="AB646" s="314"/>
      <c r="AC646" s="318">
        <f>OBRA!BX648</f>
        <v>0</v>
      </c>
      <c r="AD646" s="1"/>
      <c r="AE646" s="353"/>
    </row>
    <row r="647" spans="1:31" ht="15" hidden="1" customHeight="1">
      <c r="A647" s="22" t="s">
        <v>2209</v>
      </c>
      <c r="B647" s="814" t="str">
        <f>'ADMININSTRACIÓN DIR - OBRA'!B651</f>
        <v>2021-2024</v>
      </c>
      <c r="C647" s="16">
        <f>OBRA!K649</f>
        <v>2022</v>
      </c>
      <c r="D647" s="1444"/>
      <c r="E647" s="17" t="str">
        <f>OBRA!N649</f>
        <v>RAMO 33</v>
      </c>
      <c r="F647" s="1194"/>
      <c r="G647" s="497"/>
      <c r="H647" s="891"/>
      <c r="I647" s="1259"/>
      <c r="J647" s="1614"/>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4">
        <f>OBRA!AS649</f>
        <v>2229168.31</v>
      </c>
      <c r="Y647" s="310"/>
      <c r="Z647" s="310"/>
      <c r="AA647" s="5"/>
      <c r="AB647" s="314"/>
      <c r="AC647" s="318">
        <f>OBRA!BX649</f>
        <v>0</v>
      </c>
      <c r="AD647" s="1"/>
      <c r="AE647" s="353"/>
    </row>
    <row r="648" spans="1:31" ht="15" hidden="1" customHeight="1">
      <c r="A648" s="22" t="s">
        <v>2209</v>
      </c>
      <c r="B648" s="814" t="str">
        <f>'ADMININSTRACIÓN DIR - OBRA'!B652</f>
        <v>2021-2024</v>
      </c>
      <c r="C648" s="16">
        <f>OBRA!K650</f>
        <v>2022</v>
      </c>
      <c r="D648" s="1444"/>
      <c r="E648" s="17" t="str">
        <f>OBRA!N650</f>
        <v>CUENTA CORRIENTE</v>
      </c>
      <c r="F648" s="1194"/>
      <c r="G648" s="497"/>
      <c r="H648" s="891"/>
      <c r="I648" s="1259"/>
      <c r="J648" s="1614"/>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4">
        <f>OBRA!AS650</f>
        <v>1922848.46</v>
      </c>
      <c r="Y648" s="310"/>
      <c r="Z648" s="310"/>
      <c r="AA648" s="5"/>
      <c r="AB648" s="314"/>
      <c r="AC648" s="318">
        <f>OBRA!BX650</f>
        <v>0</v>
      </c>
      <c r="AD648" s="1"/>
      <c r="AE648" s="353"/>
    </row>
    <row r="649" spans="1:31" ht="99.75" customHeight="1">
      <c r="A649" s="22" t="s">
        <v>2209</v>
      </c>
      <c r="B649" s="814" t="str">
        <f>'ADMININSTRACIÓN DIR - OBRA'!B653</f>
        <v>2021-2024</v>
      </c>
      <c r="C649" s="16">
        <f>OBRA!K651</f>
        <v>2022</v>
      </c>
      <c r="D649" s="1444"/>
      <c r="E649" s="17" t="str">
        <f>OBRA!N651</f>
        <v>RAMO 33</v>
      </c>
      <c r="F649" s="1267" t="s">
        <v>1427</v>
      </c>
      <c r="G649" s="1251"/>
      <c r="H649" s="416" t="s">
        <v>4618</v>
      </c>
      <c r="I649" s="417" t="s">
        <v>4618</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4566</v>
      </c>
      <c r="P649" s="6">
        <f>OBRA!T651</f>
        <v>44851</v>
      </c>
      <c r="Q649" s="4">
        <f>OBRA!S651</f>
        <v>645484.5</v>
      </c>
      <c r="R649" s="5">
        <f>OBRA!U651</f>
        <v>44865</v>
      </c>
      <c r="S649" s="11">
        <f>OBRA!V651</f>
        <v>44883</v>
      </c>
      <c r="T649" s="1596" t="s">
        <v>4448</v>
      </c>
      <c r="U649" s="651" t="s">
        <v>4618</v>
      </c>
      <c r="V649" s="500" t="s">
        <v>4618</v>
      </c>
      <c r="W649" s="589" t="s">
        <v>4618</v>
      </c>
      <c r="X649" s="1005">
        <f>OBRA!AS651</f>
        <v>346035.52</v>
      </c>
      <c r="Y649" s="310"/>
      <c r="Z649" s="310"/>
      <c r="AA649" s="4"/>
      <c r="AB649" s="1955"/>
      <c r="AC649" s="318">
        <f>OBRA!BX651</f>
        <v>0</v>
      </c>
      <c r="AD649" s="1"/>
      <c r="AE649" s="353" t="s">
        <v>5019</v>
      </c>
    </row>
    <row r="650" spans="1:31" ht="15" hidden="1" customHeight="1">
      <c r="A650" s="22" t="s">
        <v>2209</v>
      </c>
      <c r="B650" s="814" t="str">
        <f>'ADMININSTRACIÓN DIR - OBRA'!B654</f>
        <v>2021-2024</v>
      </c>
      <c r="C650" s="16">
        <f>OBRA!K652</f>
        <v>2022</v>
      </c>
      <c r="D650" s="1444"/>
      <c r="E650" s="17" t="str">
        <f>OBRA!N652</f>
        <v>RAMO 33</v>
      </c>
      <c r="F650" s="1194"/>
      <c r="G650" s="497"/>
      <c r="H650" s="891"/>
      <c r="I650" s="1259"/>
      <c r="J650" s="1614"/>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4">
        <f>OBRA!AS652</f>
        <v>991922.65</v>
      </c>
      <c r="Y650" s="310"/>
      <c r="Z650" s="310"/>
      <c r="AA650" s="5"/>
      <c r="AB650" s="314"/>
      <c r="AC650" s="318">
        <f>OBRA!BX652</f>
        <v>0</v>
      </c>
      <c r="AD650" s="1"/>
      <c r="AE650" s="353"/>
    </row>
    <row r="651" spans="1:31" ht="15" hidden="1" customHeight="1">
      <c r="A651" s="22" t="s">
        <v>2209</v>
      </c>
      <c r="B651" s="814" t="str">
        <f>'ADMININSTRACIÓN DIR - OBRA'!B655</f>
        <v>2021-2024</v>
      </c>
      <c r="C651" s="16">
        <f>OBRA!K653</f>
        <v>2022</v>
      </c>
      <c r="D651" s="1444"/>
      <c r="E651" s="17" t="str">
        <f>OBRA!N653</f>
        <v>RAMO 33</v>
      </c>
      <c r="F651" s="1194"/>
      <c r="G651" s="497"/>
      <c r="H651" s="891"/>
      <c r="I651" s="1259"/>
      <c r="J651" s="1614"/>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4">
        <f>OBRA!AS653</f>
        <v>1060839.56</v>
      </c>
      <c r="Y651" s="310"/>
      <c r="Z651" s="310"/>
      <c r="AA651" s="5"/>
      <c r="AB651" s="314"/>
      <c r="AC651" s="318">
        <f>OBRA!BX653</f>
        <v>0</v>
      </c>
      <c r="AD651" s="1"/>
      <c r="AE651" s="353"/>
    </row>
    <row r="652" spans="1:31" ht="84" customHeight="1">
      <c r="A652" s="22" t="s">
        <v>2209</v>
      </c>
      <c r="B652" s="814" t="str">
        <f>'ADMININSTRACIÓN DIR - OBRA'!B656</f>
        <v>2021-2024</v>
      </c>
      <c r="C652" s="16">
        <f>OBRA!K654</f>
        <v>2022</v>
      </c>
      <c r="D652" s="1444"/>
      <c r="E652" s="17" t="str">
        <f>OBRA!N654</f>
        <v>RAMO 33</v>
      </c>
      <c r="F652" s="1267" t="s">
        <v>1427</v>
      </c>
      <c r="G652" s="497" t="s">
        <v>5041</v>
      </c>
      <c r="H652" s="496" t="s">
        <v>5041</v>
      </c>
      <c r="I652" s="697" t="s">
        <v>5041</v>
      </c>
      <c r="J652" s="1614"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4566</v>
      </c>
      <c r="P652" s="6">
        <f>OBRA!T654</f>
        <v>44872</v>
      </c>
      <c r="Q652" s="4">
        <f>OBRA!S654</f>
        <v>762057.5</v>
      </c>
      <c r="R652" s="5">
        <f>OBRA!U654</f>
        <v>44889</v>
      </c>
      <c r="S652" s="11">
        <f>OBRA!V654</f>
        <v>44900</v>
      </c>
      <c r="T652" s="1596" t="s">
        <v>4448</v>
      </c>
      <c r="U652" s="1615"/>
      <c r="V652" s="500" t="s">
        <v>5041</v>
      </c>
      <c r="W652" s="589" t="s">
        <v>5041</v>
      </c>
      <c r="X652" s="1005">
        <f>OBRA!AS654</f>
        <v>381028.75</v>
      </c>
      <c r="Y652" s="310"/>
      <c r="Z652" s="310"/>
      <c r="AA652" s="4"/>
      <c r="AB652" s="1955"/>
      <c r="AC652" s="318">
        <f>OBRA!BX654</f>
        <v>0</v>
      </c>
      <c r="AD652" s="1"/>
      <c r="AE652" s="353" t="s">
        <v>5019</v>
      </c>
    </row>
    <row r="653" spans="1:31" ht="15" hidden="1" customHeight="1">
      <c r="A653" s="22" t="s">
        <v>2209</v>
      </c>
      <c r="B653" s="814" t="str">
        <f>'ADMININSTRACIÓN DIR - OBRA'!B657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'ADMININSTRACIÓN DIR - OBRA'!B950</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'ADMININSTRACIÓN DIR - OBRA'!B951</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'ADMININSTRACIÓN DIR - OBRA'!B952</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'ADMININSTRACIÓN DIR - OBRA'!B953</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'ADMININSTRACIÓN DIR - OBRA'!B954</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'ADMININSTRACIÓN DIR - OBRA'!B955</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'ADMININSTRACIÓN DIR - OBRA'!B956</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'ADMININSTRACIÓN DIR - OBRA'!B957</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'ADMININSTRACIÓN DIR - OBRA'!B958</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'ADMININSTRACIÓN DIR - OBRA'!B959</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'ADMININSTRACIÓN DIR - OBRA'!B960</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'ADMININSTRACIÓN DIR - OBRA'!B961</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'ADMININSTRACIÓN DIR - OBRA'!B962</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'ADMININSTRACIÓN DIR - OBRA'!B963</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'ADMININSTRACIÓN DIR - OBRA'!B964</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'ADMININSTRACIÓN DIR - OBRA'!B966</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'ADMININSTRACIÓN DIR - OBRA'!B967</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'ADMININSTRACIÓN DIR - OBRA'!B968</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'ADMININSTRACIÓN DIR - OBRA'!B969</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'ADMININSTRACIÓN DIR - OBRA'!B970</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'ADMININSTRACIÓN DIR - OBRA'!B971</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'ADMININSTRACIÓN DIR - OBRA'!B972</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'ADMININSTRACIÓN DIR - OBRA'!B973</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'ADMININSTRACIÓN DIR - OBRA'!B974</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'ADMININSTRACIÓN DIR - OBRA'!B975</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'ADMININSTRACIÓN DIR - OBRA'!B976</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'ADMININSTRACIÓN DIR - OBRA'!B977</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'ADMININSTRACIÓN DIR - OBRA'!B978</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'ADMININSTRACIÓN DIR - OBRA'!B979</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'ADMININSTRACIÓN DIR - OBRA'!B980</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'ADMININSTRACIÓN DIR - OBRA'!B981</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'ADMININSTRACIÓN DIR - OBRA'!B982</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'ADMININSTRACIÓN DIR - OBRA'!B983</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'ADMININSTRACIÓN DIR - OBRA'!B984</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'ADMININSTRACIÓN DIR - OBRA'!B985</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'ADMININSTRACIÓN DIR - OBRA'!B986</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'ADMININSTRACIÓN DIR - OBRA'!B987</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'ADMININSTRACIÓN DIR - OBRA'!B988</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'ADMININSTRACIÓN DIR - OBRA'!B989</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'ADMININSTRACIÓN DIR - OBRA'!B990</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'ADMININSTRACIÓN DIR - OBRA'!B991</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'ADMININSTRACIÓN DIR - OBRA'!B992</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'ADMININSTRACIÓN DIR - OBRA'!B971</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'ADMININSTRACIÓN DIR - OBRA'!B972</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'ADMININSTRACIÓN DIR - OBRA'!B973</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'ADMININSTRACIÓN DIR - OBRA'!B972</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'ADMININSTRACIÓN DIR - OBRA'!B973</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'ADMININSTRACIÓN DIR - OBRA'!B974</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'ADMININSTRACIÓN DIR - OBRA'!B975</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'ADMININSTRACIÓN DIR - OBRA'!B976</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'ADMININSTRACIÓN DIR - OBRA'!B977</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'ADMININSTRACIÓN DIR - OBRA'!B978</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'ADMININSTRACIÓN DIR - OBRA'!B979</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'ADMININSTRACIÓN DIR - OBRA'!B980</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'ADMININSTRACIÓN DIR - OBRA'!B981</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'ADMININSTRACIÓN DIR - OBRA'!B982</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'ADMININSTRACIÓN DIR - OBRA'!B983</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'ADMININSTRACIÓN DIR - OBRA'!B984</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'ADMININSTRACIÓN DIR - OBRA'!B985</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'ADMININSTRACIÓN DIR - OBRA'!B986</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'ADMININSTRACIÓN DIR - OBRA'!B987</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'ADMININSTRACIÓN DIR - OBRA'!B988</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'ADMININSTRACIÓN DIR - OBRA'!B976</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'ADMININSTRACIÓN DIR - OBRA'!B977</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'ADMININSTRACIÓN DIR - OBRA'!B978</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'ADMININSTRACIÓN DIR - OBRA'!B979</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'ADMININSTRACIÓN DIR - OBRA'!B980</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'ADMININSTRACIÓN DIR - OBRA'!B981</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'ADMININSTRACIÓN DIR - OBRA'!B982</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'ADMININSTRACIÓN DIR - OBRA'!B983</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'ADMININSTRACIÓN DIR - OBRA'!B984</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'ADMININSTRACIÓN DIR - OBRA'!B985</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'ADMININSTRACIÓN DIR - OBRA'!B730</f>
        <v>2021-2024</v>
      </c>
      <c r="C726" s="16">
        <f>OBRA!K728</f>
        <v>2023</v>
      </c>
      <c r="D726" s="1444"/>
      <c r="E726" s="17" t="str">
        <f>OBRA!N728</f>
        <v>CUENTA CORRIENTE</v>
      </c>
      <c r="F726" s="479" t="s">
        <v>1427</v>
      </c>
      <c r="G726" s="497" t="s">
        <v>5525</v>
      </c>
      <c r="H726" s="496" t="s">
        <v>5525</v>
      </c>
      <c r="I726" s="497" t="s">
        <v>5525</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5519</v>
      </c>
      <c r="P726" s="6">
        <f>OBRA!T728</f>
        <v>44967</v>
      </c>
      <c r="Q726" s="4">
        <f>OBRA!S728</f>
        <v>307647.35999999999</v>
      </c>
      <c r="R726" s="5">
        <f>OBRA!U728</f>
        <v>44968</v>
      </c>
      <c r="S726" s="11">
        <f>OBRA!V728</f>
        <v>44985</v>
      </c>
      <c r="T726" s="1596" t="s">
        <v>4448</v>
      </c>
      <c r="U726" s="204"/>
      <c r="V726" s="500" t="s">
        <v>5525</v>
      </c>
      <c r="W726" s="589" t="s">
        <v>5525</v>
      </c>
      <c r="X726" s="1005">
        <f>OBRA!AS728</f>
        <v>0</v>
      </c>
      <c r="Y726" s="310"/>
      <c r="Z726" s="310"/>
      <c r="AA726" s="5"/>
      <c r="AB726" s="314"/>
      <c r="AC726" s="318">
        <f>OBRA!BX728</f>
        <v>0</v>
      </c>
      <c r="AD726" s="353"/>
      <c r="AE726" s="353"/>
    </row>
    <row r="727" spans="1:31" ht="117.75" hidden="1" customHeight="1">
      <c r="A727" s="22" t="s">
        <v>2209</v>
      </c>
      <c r="B727" s="814" t="str">
        <f>'ADMININSTRACIÓN DIR - OBRA'!B731</f>
        <v>2021-2024</v>
      </c>
      <c r="C727" s="16">
        <f>OBRA!K729</f>
        <v>2023</v>
      </c>
      <c r="D727" s="1444"/>
      <c r="E727" s="17" t="str">
        <f>OBRA!N729</f>
        <v>REGULARIZACIÓN DE VEHÍCULOS DE PROCEDENCIA EXTRANJERA - RAMO 23/2022</v>
      </c>
      <c r="F727" s="479" t="s">
        <v>1427</v>
      </c>
      <c r="G727" s="497" t="s">
        <v>5524</v>
      </c>
      <c r="H727" s="496" t="s">
        <v>5524</v>
      </c>
      <c r="I727" s="497" t="s">
        <v>5524</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5519</v>
      </c>
      <c r="P727" s="6">
        <f>OBRA!T729</f>
        <v>45033</v>
      </c>
      <c r="Q727" s="4">
        <f>OBRA!S729</f>
        <v>27472.5</v>
      </c>
      <c r="R727" s="5">
        <f>OBRA!U729</f>
        <v>45036</v>
      </c>
      <c r="S727" s="11">
        <f>OBRA!V729</f>
        <v>45038</v>
      </c>
      <c r="T727" s="1596" t="s">
        <v>4448</v>
      </c>
      <c r="U727" s="204"/>
      <c r="V727" s="500" t="s">
        <v>5524</v>
      </c>
      <c r="W727" s="589" t="s">
        <v>5524</v>
      </c>
      <c r="X727" s="1005">
        <f>OBRA!AS729</f>
        <v>0</v>
      </c>
      <c r="Y727" s="310"/>
      <c r="Z727" s="310"/>
      <c r="AA727" s="5"/>
      <c r="AB727" s="314"/>
      <c r="AC727" s="318">
        <f>OBRA!BX729</f>
        <v>0</v>
      </c>
      <c r="AD727" s="353"/>
      <c r="AE727" s="353"/>
    </row>
    <row r="728" spans="1:31" ht="15" hidden="1" customHeight="1">
      <c r="A728" s="22" t="s">
        <v>2209</v>
      </c>
      <c r="B728" s="814">
        <f>'ADMININSTRACIÓN DIR - OBRA'!B988</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5519</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'ADMININSTRACIÓN DIR - OBRA'!B733</f>
        <v>2021-2024</v>
      </c>
      <c r="C729" s="16">
        <f>OBRA!K731</f>
        <v>2023</v>
      </c>
      <c r="D729" s="1444"/>
      <c r="E729" s="17" t="str">
        <f>OBRA!N731</f>
        <v>CUENTA CORRIENTE</v>
      </c>
      <c r="F729" s="479" t="s">
        <v>1427</v>
      </c>
      <c r="G729" s="497" t="s">
        <v>5526</v>
      </c>
      <c r="H729" s="496" t="s">
        <v>5526</v>
      </c>
      <c r="I729" s="497" t="s">
        <v>5526</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5519</v>
      </c>
      <c r="P729" s="6">
        <f>OBRA!T731</f>
        <v>45191</v>
      </c>
      <c r="Q729" s="4">
        <f>OBRA!S731</f>
        <v>80000</v>
      </c>
      <c r="R729" s="5">
        <f>OBRA!U731</f>
        <v>45201</v>
      </c>
      <c r="S729" s="11">
        <f>OBRA!V731</f>
        <v>45227</v>
      </c>
      <c r="T729" s="1596" t="s">
        <v>4448</v>
      </c>
      <c r="U729" s="204"/>
      <c r="V729" s="500" t="s">
        <v>5526</v>
      </c>
      <c r="W729" s="589" t="s">
        <v>5526</v>
      </c>
      <c r="X729" s="1760">
        <f>OBRA!AS731</f>
        <v>0</v>
      </c>
      <c r="Y729" s="310"/>
      <c r="Z729" s="310"/>
      <c r="AA729" s="5"/>
      <c r="AB729" s="314"/>
      <c r="AC729" s="318">
        <f>OBRA!BX731</f>
        <v>0</v>
      </c>
      <c r="AD729" s="353"/>
      <c r="AE729" s="353"/>
    </row>
    <row r="730" spans="1:31" ht="121.5" hidden="1" customHeight="1">
      <c r="A730" s="22" t="s">
        <v>2209</v>
      </c>
      <c r="B730" s="814" t="str">
        <f>'ADMININSTRACIÓN DIR - OBRA'!B734</f>
        <v>2021-2024</v>
      </c>
      <c r="C730" s="16">
        <f>OBRA!K732</f>
        <v>2023</v>
      </c>
      <c r="D730" s="1444"/>
      <c r="E730" s="17" t="str">
        <f>OBRA!N732</f>
        <v>REGULARIZACIÓN DE VEHÍCULOS DE PROCEDENCIA EXTRANJERA - RAMO 23/2023</v>
      </c>
      <c r="F730" s="479" t="s">
        <v>1427</v>
      </c>
      <c r="G730" s="497" t="s">
        <v>5527</v>
      </c>
      <c r="H730" s="496" t="s">
        <v>5527</v>
      </c>
      <c r="I730" s="497" t="s">
        <v>5527</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5519</v>
      </c>
      <c r="P730" s="6">
        <f>OBRA!T732</f>
        <v>45244</v>
      </c>
      <c r="Q730" s="4">
        <f>OBRA!S732</f>
        <v>92407.5</v>
      </c>
      <c r="R730" s="5">
        <f>OBRA!U732</f>
        <v>45264</v>
      </c>
      <c r="S730" s="11">
        <f>OBRA!V732</f>
        <v>45268</v>
      </c>
      <c r="T730" s="1596" t="s">
        <v>4448</v>
      </c>
      <c r="U730" s="204"/>
      <c r="V730" s="500" t="s">
        <v>5527</v>
      </c>
      <c r="W730" s="589" t="s">
        <v>5527</v>
      </c>
      <c r="X730" s="1760">
        <f>OBRA!AS732</f>
        <v>0</v>
      </c>
      <c r="Y730" s="310"/>
      <c r="Z730" s="310"/>
      <c r="AA730" s="5"/>
      <c r="AB730" s="314"/>
      <c r="AC730" s="318">
        <f>OBRA!BX732</f>
        <v>0</v>
      </c>
      <c r="AD730" s="353"/>
      <c r="AE730" s="353"/>
    </row>
    <row r="731" spans="1:31" ht="158.25" hidden="1" customHeight="1">
      <c r="A731" s="22" t="s">
        <v>2209</v>
      </c>
      <c r="B731" s="814" t="str">
        <f>'ADMININSTRACIÓN DIR - OBRA'!B735</f>
        <v>2021-2024</v>
      </c>
      <c r="C731" s="16">
        <f>OBRA!K733</f>
        <v>2023</v>
      </c>
      <c r="D731" s="1444"/>
      <c r="E731" s="17" t="str">
        <f>OBRA!N733</f>
        <v>CUENTA CORRIENTE</v>
      </c>
      <c r="F731" s="479" t="s">
        <v>1427</v>
      </c>
      <c r="G731" s="497" t="s">
        <v>5528</v>
      </c>
      <c r="H731" s="496" t="s">
        <v>5528</v>
      </c>
      <c r="I731" s="497" t="s">
        <v>5528</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5519</v>
      </c>
      <c r="P731" s="6">
        <f>OBRA!T733</f>
        <v>45257</v>
      </c>
      <c r="Q731" s="4">
        <f>OBRA!S733</f>
        <v>280000</v>
      </c>
      <c r="R731" s="5">
        <f>OBRA!U733</f>
        <v>45264</v>
      </c>
      <c r="S731" s="11">
        <f>OBRA!V733</f>
        <v>45288</v>
      </c>
      <c r="T731" s="1596" t="s">
        <v>4449</v>
      </c>
      <c r="U731" s="1616" t="s">
        <v>1427</v>
      </c>
      <c r="V731" s="500" t="s">
        <v>5528</v>
      </c>
      <c r="W731" s="589" t="s">
        <v>5528</v>
      </c>
      <c r="X731" s="1006">
        <f>OBRA!AS733</f>
        <v>0</v>
      </c>
      <c r="Y731" s="310"/>
      <c r="Z731" s="310"/>
      <c r="AA731" s="5"/>
      <c r="AB731" s="314"/>
      <c r="AC731" s="318">
        <f>OBRA!BX733</f>
        <v>0</v>
      </c>
      <c r="AD731" s="353"/>
      <c r="AE731" s="353"/>
    </row>
    <row r="732" spans="1:31" ht="105" hidden="1" customHeight="1">
      <c r="A732" s="22" t="s">
        <v>2209</v>
      </c>
      <c r="B732" s="814" t="str">
        <f>'ADMININSTRACIÓN DIR - OBRA'!B736</f>
        <v>2021-2024</v>
      </c>
      <c r="C732" s="16">
        <f>OBRA!K734</f>
        <v>2023</v>
      </c>
      <c r="D732" s="1444"/>
      <c r="E732" s="17">
        <f>OBRA!N734</f>
        <v>0</v>
      </c>
      <c r="F732" s="479" t="s">
        <v>1427</v>
      </c>
      <c r="G732" s="497" t="s">
        <v>5841</v>
      </c>
      <c r="H732" s="496" t="s">
        <v>5841</v>
      </c>
      <c r="I732" s="497" t="s">
        <v>5841</v>
      </c>
      <c r="J732" s="54" t="str">
        <f>OBRA!X734</f>
        <v>-</v>
      </c>
      <c r="K732" s="55">
        <f>OBRA!Y734</f>
        <v>0</v>
      </c>
      <c r="L732" s="19" t="str">
        <f>OBRA!O734</f>
        <v>DOP/AD/007/2023</v>
      </c>
      <c r="M732" s="2" t="str">
        <f>OBRA!P734</f>
        <v>CANCELADA</v>
      </c>
      <c r="N732" s="3" t="str">
        <f>OBRA!Q734</f>
        <v>-</v>
      </c>
      <c r="O732" s="505" t="s">
        <v>5519</v>
      </c>
      <c r="P732" s="6">
        <f>OBRA!T734</f>
        <v>0</v>
      </c>
      <c r="Q732" s="4">
        <f>OBRA!S734</f>
        <v>0</v>
      </c>
      <c r="R732" s="5">
        <f>OBRA!U734</f>
        <v>0</v>
      </c>
      <c r="S732" s="11">
        <f>OBRA!V734</f>
        <v>0</v>
      </c>
      <c r="T732" s="1596" t="s">
        <v>4449</v>
      </c>
      <c r="U732" s="1616" t="s">
        <v>1427</v>
      </c>
      <c r="V732" s="500" t="s">
        <v>5841</v>
      </c>
      <c r="W732" s="589" t="s">
        <v>5841</v>
      </c>
      <c r="X732" s="1005">
        <f>OBRA!AS734</f>
        <v>0</v>
      </c>
      <c r="Y732" s="310"/>
      <c r="Z732" s="310"/>
      <c r="AA732" s="5"/>
      <c r="AB732" s="314"/>
      <c r="AC732" s="318">
        <f>OBRA!BX734</f>
        <v>0</v>
      </c>
      <c r="AD732" s="353"/>
      <c r="AE732" s="353" t="s">
        <v>550</v>
      </c>
    </row>
    <row r="733" spans="1:31" ht="77.25" hidden="1" customHeight="1">
      <c r="A733" s="22" t="s">
        <v>2209</v>
      </c>
      <c r="B733" s="814" t="str">
        <f>'ADMININSTRACIÓN DIR - OBRA'!B737</f>
        <v>2021-2024</v>
      </c>
      <c r="C733" s="16">
        <f>OBRA!K735</f>
        <v>2023</v>
      </c>
      <c r="D733" s="1444"/>
      <c r="E733" s="17">
        <f>OBRA!N735</f>
        <v>0</v>
      </c>
      <c r="F733" s="479" t="s">
        <v>1427</v>
      </c>
      <c r="G733" s="497" t="s">
        <v>5529</v>
      </c>
      <c r="H733" s="496" t="s">
        <v>5529</v>
      </c>
      <c r="I733" s="497" t="s">
        <v>5529</v>
      </c>
      <c r="J733" s="54" t="str">
        <f>OBRA!X735</f>
        <v>-</v>
      </c>
      <c r="K733" s="55">
        <f>OBRA!Y735</f>
        <v>0</v>
      </c>
      <c r="L733" s="19" t="str">
        <f>OBRA!O735</f>
        <v>DOP/AD/008/2023</v>
      </c>
      <c r="M733" s="2" t="str">
        <f>OBRA!P735</f>
        <v>CANCELADA</v>
      </c>
      <c r="N733" s="3" t="str">
        <f>OBRA!Q735</f>
        <v>-</v>
      </c>
      <c r="O733" s="505" t="s">
        <v>5519</v>
      </c>
      <c r="P733" s="6">
        <f>OBRA!T735</f>
        <v>0</v>
      </c>
      <c r="Q733" s="4">
        <f>OBRA!S735</f>
        <v>0</v>
      </c>
      <c r="R733" s="5">
        <f>OBRA!U735</f>
        <v>0</v>
      </c>
      <c r="S733" s="11">
        <f>OBRA!V735</f>
        <v>0</v>
      </c>
      <c r="T733" s="1596" t="s">
        <v>4449</v>
      </c>
      <c r="U733" s="207" t="s">
        <v>1427</v>
      </c>
      <c r="V733" s="500" t="s">
        <v>5529</v>
      </c>
      <c r="W733" s="589" t="s">
        <v>5529</v>
      </c>
      <c r="X733" s="1005">
        <f>OBRA!AS735</f>
        <v>0</v>
      </c>
      <c r="Y733" s="310"/>
      <c r="Z733" s="310"/>
      <c r="AA733" s="5"/>
      <c r="AB733" s="314"/>
      <c r="AC733" s="318">
        <f>OBRA!BX735</f>
        <v>0</v>
      </c>
      <c r="AD733" s="353"/>
      <c r="AE733" s="353" t="s">
        <v>550</v>
      </c>
    </row>
    <row r="734" spans="1:31" ht="105" hidden="1" customHeight="1">
      <c r="A734" s="22" t="s">
        <v>2209</v>
      </c>
      <c r="B734" s="814" t="str">
        <f>'ADMININSTRACIÓN DIR - OBRA'!B738</f>
        <v>2021-2024</v>
      </c>
      <c r="C734" s="16">
        <f>OBRA!K736</f>
        <v>2023</v>
      </c>
      <c r="D734" s="1444"/>
      <c r="E734" s="17">
        <f>OBRA!N736</f>
        <v>0</v>
      </c>
      <c r="F734" s="479" t="s">
        <v>1427</v>
      </c>
      <c r="G734" s="497" t="s">
        <v>5847</v>
      </c>
      <c r="H734" s="496" t="s">
        <v>5847</v>
      </c>
      <c r="I734" s="163"/>
      <c r="J734" s="54" t="str">
        <f>OBRA!X736</f>
        <v>-</v>
      </c>
      <c r="K734" s="55">
        <f>OBRA!Y736</f>
        <v>0</v>
      </c>
      <c r="L734" s="19" t="str">
        <f>OBRA!O736</f>
        <v>DOP/AD/009/2023</v>
      </c>
      <c r="M734" s="2" t="str">
        <f>OBRA!P736</f>
        <v>CANCELADA</v>
      </c>
      <c r="N734" s="3" t="str">
        <f>OBRA!Q736</f>
        <v>-</v>
      </c>
      <c r="O734" s="505" t="s">
        <v>5519</v>
      </c>
      <c r="P734" s="6">
        <f>OBRA!T736</f>
        <v>0</v>
      </c>
      <c r="Q734" s="4">
        <f>OBRA!S736</f>
        <v>0</v>
      </c>
      <c r="R734" s="5">
        <f>OBRA!U736</f>
        <v>0</v>
      </c>
      <c r="S734" s="11">
        <f>OBRA!V736</f>
        <v>0</v>
      </c>
      <c r="T734" s="1596" t="s">
        <v>4449</v>
      </c>
      <c r="U734" s="1616" t="s">
        <v>1427</v>
      </c>
      <c r="V734" s="538"/>
      <c r="W734" s="438"/>
      <c r="X734" s="1006">
        <f>OBRA!AS736</f>
        <v>0</v>
      </c>
      <c r="Y734" s="310"/>
      <c r="Z734" s="310"/>
      <c r="AA734" s="5"/>
      <c r="AB734" s="314"/>
      <c r="AC734" s="318">
        <f>OBRA!BX736</f>
        <v>0</v>
      </c>
      <c r="AD734" s="353"/>
      <c r="AE734" s="353"/>
    </row>
    <row r="735" spans="1:31" ht="88.5" hidden="1" customHeight="1">
      <c r="A735" s="22" t="s">
        <v>2209</v>
      </c>
      <c r="B735" s="814" t="str">
        <f>'ADMININSTRACIÓN DIR - OBRA'!B739</f>
        <v>2021-2024</v>
      </c>
      <c r="C735" s="16">
        <f>OBRA!K737</f>
        <v>2023</v>
      </c>
      <c r="D735" s="1444"/>
      <c r="E735" s="17">
        <f>OBRA!N737</f>
        <v>0</v>
      </c>
      <c r="F735" s="479" t="s">
        <v>1427</v>
      </c>
      <c r="G735" s="497" t="s">
        <v>5530</v>
      </c>
      <c r="H735" s="496" t="s">
        <v>5530</v>
      </c>
      <c r="I735" s="497" t="s">
        <v>5530</v>
      </c>
      <c r="J735" s="54" t="str">
        <f>OBRA!X737</f>
        <v>-</v>
      </c>
      <c r="K735" s="55">
        <f>OBRA!Y737</f>
        <v>0</v>
      </c>
      <c r="L735" s="19" t="str">
        <f>OBRA!O737</f>
        <v>DOP/AD/010/2023</v>
      </c>
      <c r="M735" s="2" t="str">
        <f>OBRA!P737</f>
        <v>CANCELADA</v>
      </c>
      <c r="N735" s="3" t="str">
        <f>OBRA!Q737</f>
        <v>-</v>
      </c>
      <c r="O735" s="505" t="s">
        <v>5519</v>
      </c>
      <c r="P735" s="6">
        <f>OBRA!T737</f>
        <v>0</v>
      </c>
      <c r="Q735" s="4">
        <f>OBRA!S737</f>
        <v>0</v>
      </c>
      <c r="R735" s="5">
        <f>OBRA!U737</f>
        <v>0</v>
      </c>
      <c r="S735" s="11">
        <f>OBRA!V737</f>
        <v>0</v>
      </c>
      <c r="T735" s="1596" t="s">
        <v>4449</v>
      </c>
      <c r="U735" s="1616" t="s">
        <v>1427</v>
      </c>
      <c r="V735" s="1632" t="s">
        <v>5530</v>
      </c>
      <c r="W735" s="1631" t="s">
        <v>5530</v>
      </c>
      <c r="X735" s="1571">
        <f>OBRA!AS737</f>
        <v>0</v>
      </c>
      <c r="Y735" s="310"/>
      <c r="Z735" s="310"/>
      <c r="AA735" s="5"/>
      <c r="AB735" s="314"/>
      <c r="AC735" s="318">
        <f>OBRA!BX737</f>
        <v>0</v>
      </c>
      <c r="AD735" s="353"/>
      <c r="AE735" s="353" t="s">
        <v>550</v>
      </c>
    </row>
    <row r="736" spans="1:31" ht="87.75" customHeight="1">
      <c r="A736" s="22" t="s">
        <v>2209</v>
      </c>
      <c r="B736" s="814" t="str">
        <f>'ADMININSTRACIÓN DIR - OBRA'!B738</f>
        <v>2021-2024</v>
      </c>
      <c r="C736" s="16">
        <f>OBRA!K738</f>
        <v>2023</v>
      </c>
      <c r="D736" s="1444"/>
      <c r="E736" s="17" t="str">
        <f>OBRA!N738</f>
        <v>RAMO 33</v>
      </c>
      <c r="F736" s="1267" t="s">
        <v>1427</v>
      </c>
      <c r="G736" s="1630" t="s">
        <v>5853</v>
      </c>
      <c r="H736" s="416" t="s">
        <v>5853</v>
      </c>
      <c r="I736" s="1630" t="s">
        <v>5853</v>
      </c>
      <c r="J736" s="652" t="str">
        <f>OBRA!X738</f>
        <v>EDIFICACIONES Y TERRACERIAS CH, S.A. DE C.V.</v>
      </c>
      <c r="K736" s="409" t="str">
        <f>OBRA!Y738</f>
        <v>C. DANIEL RODRIGUEZ VALENZUELA</v>
      </c>
      <c r="L736" s="242" t="str">
        <f>OBRA!O738</f>
        <v>GMJ 001C OP/2023</v>
      </c>
      <c r="M736" s="389" t="str">
        <f>OBRA!P738</f>
        <v>ADJUDICACIÓN DIRECTA</v>
      </c>
      <c r="N736" s="674" t="str">
        <f>OBRA!Q738</f>
        <v>"CONSTRUCCIÓN DE LÍNEA DE DRENAJE SANITARIO, LÍNEA DE AGUA POTABLE, HUELLA DE CONCRETO Y EMPEDRADO AHOGADO EN CONCRETO EN LA CALLE JOSEFA ORTIZ DE DOMINGUEZ DE CALLE ALDAMA PONIENTE A CALLE FILÓSOFOS", EN LA CABECERA MUNICIPAL DE JOCOTEPEC, JALISCO.</v>
      </c>
      <c r="O736" s="1629" t="s">
        <v>5532</v>
      </c>
      <c r="P736" s="661">
        <f>OBRA!T738</f>
        <v>44974</v>
      </c>
      <c r="Q736" s="197">
        <f>OBRA!S738</f>
        <v>1211066.4099999999</v>
      </c>
      <c r="R736" s="58">
        <f>OBRA!U738</f>
        <v>44977</v>
      </c>
      <c r="S736" s="59">
        <f>OBRA!V738</f>
        <v>45021</v>
      </c>
      <c r="T736" s="1381" t="s">
        <v>3819</v>
      </c>
      <c r="U736" s="1615"/>
      <c r="V736" s="1632" t="s">
        <v>5853</v>
      </c>
      <c r="W736" s="1631" t="s">
        <v>5853</v>
      </c>
      <c r="X736" s="1571">
        <f>OBRA!AS738</f>
        <v>242213.28</v>
      </c>
      <c r="Y736" s="1652"/>
      <c r="Z736" s="310"/>
      <c r="AA736" s="5"/>
      <c r="AB736" s="314"/>
      <c r="AC736" s="318"/>
      <c r="AD736" s="353"/>
      <c r="AE736" s="353" t="s">
        <v>5019</v>
      </c>
    </row>
    <row r="737" spans="1:31" ht="85.5" customHeight="1">
      <c r="A737" s="22" t="s">
        <v>2209</v>
      </c>
      <c r="B737" s="814" t="str">
        <f>'ADMININSTRACIÓN DIR - OBRA'!B739</f>
        <v>2021-2024</v>
      </c>
      <c r="C737" s="16">
        <f>OBRA!K739</f>
        <v>2023</v>
      </c>
      <c r="D737" s="1444"/>
      <c r="E737" s="17" t="str">
        <f>OBRA!N739</f>
        <v>RAMO 33</v>
      </c>
      <c r="F737" s="479" t="s">
        <v>1427</v>
      </c>
      <c r="G737" s="497" t="s">
        <v>5874</v>
      </c>
      <c r="H737" s="496" t="s">
        <v>5874</v>
      </c>
      <c r="I737" s="497" t="s">
        <v>5874</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5532</v>
      </c>
      <c r="P737" s="6">
        <f>OBRA!T739</f>
        <v>45022</v>
      </c>
      <c r="Q737" s="4">
        <f>OBRA!S739</f>
        <v>1810170.95</v>
      </c>
      <c r="R737" s="5">
        <f>OBRA!U739</f>
        <v>45024</v>
      </c>
      <c r="S737" s="11">
        <f>OBRA!V739</f>
        <v>45061</v>
      </c>
      <c r="T737" s="1381" t="s">
        <v>3819</v>
      </c>
      <c r="U737" s="1615"/>
      <c r="V737" s="500" t="s">
        <v>5874</v>
      </c>
      <c r="W737" s="589" t="s">
        <v>5874</v>
      </c>
      <c r="X737" s="1571">
        <f>OBRA!AS739</f>
        <v>362034.18</v>
      </c>
      <c r="Y737" s="310"/>
      <c r="Z737" s="310"/>
      <c r="AA737" s="5"/>
      <c r="AB737" s="314"/>
      <c r="AC737" s="318"/>
      <c r="AD737" s="353"/>
      <c r="AE737" s="353" t="s">
        <v>5019</v>
      </c>
    </row>
    <row r="738" spans="1:31" ht="86.25" hidden="1" customHeight="1">
      <c r="A738" s="22" t="s">
        <v>2209</v>
      </c>
      <c r="B738" s="814">
        <f>'ADMININSTRACIÓN DIR - OBRA'!B1008</f>
        <v>0</v>
      </c>
      <c r="C738" s="16">
        <f>OBRA!K740</f>
        <v>2023</v>
      </c>
      <c r="D738" s="1444"/>
      <c r="E738" s="17" t="str">
        <f>OBRA!N740</f>
        <v>CUENTA CORRIENTE</v>
      </c>
      <c r="F738" s="479" t="s">
        <v>1427</v>
      </c>
      <c r="G738" s="497" t="s">
        <v>5875</v>
      </c>
      <c r="H738" s="511"/>
      <c r="I738" s="497" t="s">
        <v>5875</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5532</v>
      </c>
      <c r="P738" s="6">
        <f>OBRA!T740</f>
        <v>44981</v>
      </c>
      <c r="Q738" s="4">
        <f>OBRA!S740</f>
        <v>4378573.75</v>
      </c>
      <c r="R738" s="5">
        <f>OBRA!U740</f>
        <v>44987</v>
      </c>
      <c r="S738" s="11">
        <f>OBRA!V740</f>
        <v>45048</v>
      </c>
      <c r="T738" s="1596" t="s">
        <v>4449</v>
      </c>
      <c r="U738" s="1616" t="s">
        <v>1427</v>
      </c>
      <c r="V738" s="500" t="s">
        <v>5875</v>
      </c>
      <c r="W738" s="589" t="s">
        <v>5875</v>
      </c>
      <c r="X738" s="1007">
        <f>OBRA!AS740</f>
        <v>875714.74</v>
      </c>
      <c r="Y738" s="310"/>
      <c r="Z738" s="310"/>
      <c r="AA738" s="5"/>
      <c r="AB738" s="314"/>
      <c r="AC738" s="318">
        <f>OBRA!BX740</f>
        <v>0</v>
      </c>
      <c r="AD738" s="353"/>
      <c r="AE738" s="353"/>
    </row>
    <row r="739" spans="1:31" ht="80.25" customHeight="1">
      <c r="A739" s="22" t="s">
        <v>2209</v>
      </c>
      <c r="B739" s="814" t="str">
        <f>'ADMININSTRACIÓN DIR - OBRA'!B741</f>
        <v>2021-2024</v>
      </c>
      <c r="C739" s="16">
        <f>OBRA!K741</f>
        <v>2023</v>
      </c>
      <c r="D739" s="1444"/>
      <c r="E739" s="17" t="str">
        <f>OBRA!N741</f>
        <v>RAMO 33</v>
      </c>
      <c r="F739" s="479" t="s">
        <v>1427</v>
      </c>
      <c r="G739" s="497" t="s">
        <v>5526</v>
      </c>
      <c r="H739" s="496" t="s">
        <v>5526</v>
      </c>
      <c r="I739" s="497" t="s">
        <v>5526</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5532</v>
      </c>
      <c r="P739" s="6">
        <f>OBRA!T741</f>
        <v>45036</v>
      </c>
      <c r="Q739" s="4">
        <f>OBRA!S741</f>
        <v>1196296.56</v>
      </c>
      <c r="R739" s="5">
        <f>OBRA!U741</f>
        <v>45048</v>
      </c>
      <c r="S739" s="11">
        <f>OBRA!V741</f>
        <v>45079</v>
      </c>
      <c r="T739" s="1381" t="s">
        <v>3819</v>
      </c>
      <c r="U739" s="1615"/>
      <c r="V739" s="500" t="s">
        <v>5526</v>
      </c>
      <c r="W739" s="589" t="s">
        <v>5526</v>
      </c>
      <c r="X739" s="1571">
        <f>OBRA!AS741</f>
        <v>584851.71</v>
      </c>
      <c r="Y739" s="310"/>
      <c r="Z739" s="310"/>
      <c r="AA739" s="5"/>
      <c r="AB739" s="314"/>
      <c r="AC739" s="318"/>
      <c r="AD739" s="353"/>
      <c r="AE739" s="353"/>
    </row>
    <row r="740" spans="1:31" ht="83.25" customHeight="1">
      <c r="A740" s="22" t="s">
        <v>2209</v>
      </c>
      <c r="B740" s="814" t="str">
        <f>'ADMININSTRACIÓN DIR - OBRA'!B742</f>
        <v>2021-2024</v>
      </c>
      <c r="C740" s="16">
        <f>OBRA!K742</f>
        <v>2023</v>
      </c>
      <c r="D740" s="1444"/>
      <c r="E740" s="17" t="str">
        <f>OBRA!N742</f>
        <v>RAMO 33</v>
      </c>
      <c r="F740" s="479" t="s">
        <v>1427</v>
      </c>
      <c r="G740" s="497" t="s">
        <v>5527</v>
      </c>
      <c r="H740" s="496" t="s">
        <v>5527</v>
      </c>
      <c r="I740" s="497" t="s">
        <v>5527</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5532</v>
      </c>
      <c r="P740" s="6">
        <f>OBRA!T742</f>
        <v>45044</v>
      </c>
      <c r="Q740" s="4">
        <f>OBRA!S742</f>
        <v>544139.78</v>
      </c>
      <c r="R740" s="5">
        <f>OBRA!U742</f>
        <v>45054</v>
      </c>
      <c r="S740" s="11">
        <f>OBRA!V742</f>
        <v>45086</v>
      </c>
      <c r="T740" s="1381" t="s">
        <v>3819</v>
      </c>
      <c r="U740" s="651" t="s">
        <v>5527</v>
      </c>
      <c r="V740" s="500" t="s">
        <v>5527</v>
      </c>
      <c r="W740" s="589" t="s">
        <v>5527</v>
      </c>
      <c r="X740" s="1571">
        <f>OBRA!AS742</f>
        <v>272069.87</v>
      </c>
      <c r="Y740" s="310"/>
      <c r="Z740" s="310"/>
      <c r="AA740" s="5"/>
      <c r="AB740" s="314"/>
      <c r="AC740" s="318"/>
      <c r="AD740" s="353"/>
      <c r="AE740" s="353" t="s">
        <v>550</v>
      </c>
    </row>
    <row r="741" spans="1:31" ht="105.75" customHeight="1">
      <c r="A741" s="22" t="s">
        <v>2209</v>
      </c>
      <c r="B741" s="814" t="str">
        <f>'ADMININSTRACIÓN DIR - OBRA'!B743</f>
        <v>2021-2024</v>
      </c>
      <c r="C741" s="16">
        <f>OBRA!K743</f>
        <v>2023</v>
      </c>
      <c r="D741" s="1444"/>
      <c r="E741" s="17" t="str">
        <f>OBRA!N743</f>
        <v>CUENTA CORRIENTE</v>
      </c>
      <c r="F741" s="479" t="s">
        <v>1427</v>
      </c>
      <c r="G741" s="497" t="s">
        <v>5528</v>
      </c>
      <c r="H741" s="496" t="s">
        <v>5528</v>
      </c>
      <c r="I741" s="497" t="s">
        <v>5528</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5532</v>
      </c>
      <c r="P741" s="6">
        <f>OBRA!T743</f>
        <v>45042</v>
      </c>
      <c r="Q741" s="4">
        <f>OBRA!S743</f>
        <v>584259.75</v>
      </c>
      <c r="R741" s="5">
        <f>OBRA!U743</f>
        <v>45048</v>
      </c>
      <c r="S741" s="11">
        <f>OBRA!V743</f>
        <v>45168</v>
      </c>
      <c r="T741" s="1596" t="s">
        <v>4449</v>
      </c>
      <c r="U741" s="1616" t="s">
        <v>1427</v>
      </c>
      <c r="V741" s="500" t="s">
        <v>5528</v>
      </c>
      <c r="W741" s="589" t="s">
        <v>5528</v>
      </c>
      <c r="X741" s="1571">
        <f>OBRA!AS743</f>
        <v>77410.84</v>
      </c>
      <c r="Y741" s="500" t="s">
        <v>5519</v>
      </c>
      <c r="Z741" s="310">
        <v>45133</v>
      </c>
      <c r="AA741" s="1996">
        <v>774108.4</v>
      </c>
      <c r="AB741" s="314" t="s">
        <v>67</v>
      </c>
      <c r="AC741" s="318" t="s">
        <v>3555</v>
      </c>
      <c r="AD741" s="353"/>
      <c r="AE741" s="353" t="s">
        <v>550</v>
      </c>
    </row>
    <row r="742" spans="1:31" ht="90" customHeight="1">
      <c r="A742" s="22" t="s">
        <v>2209</v>
      </c>
      <c r="B742" s="814" t="str">
        <f>'ADMININSTRACIÓN DIR - OBRA'!B744</f>
        <v>2021-2024</v>
      </c>
      <c r="C742" s="16">
        <f>OBRA!K744</f>
        <v>2023</v>
      </c>
      <c r="D742" s="1444"/>
      <c r="E742" s="17" t="str">
        <f>OBRA!N744</f>
        <v>CUENTA CORRIENTE</v>
      </c>
      <c r="F742" s="479" t="s">
        <v>1427</v>
      </c>
      <c r="G742" s="497" t="s">
        <v>5841</v>
      </c>
      <c r="H742" s="496" t="s">
        <v>5841</v>
      </c>
      <c r="I742" s="497" t="s">
        <v>5841</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5532</v>
      </c>
      <c r="P742" s="6">
        <f>OBRA!T744</f>
        <v>45056</v>
      </c>
      <c r="Q742" s="4">
        <f>OBRA!S744</f>
        <v>387303.55</v>
      </c>
      <c r="R742" s="5">
        <f>OBRA!U744</f>
        <v>45061</v>
      </c>
      <c r="S742" s="11">
        <f>OBRA!V744</f>
        <v>45090</v>
      </c>
      <c r="T742" s="1596" t="s">
        <v>4449</v>
      </c>
      <c r="U742" s="1616" t="s">
        <v>1427</v>
      </c>
      <c r="V742" s="500" t="s">
        <v>5841</v>
      </c>
      <c r="W742" s="589" t="s">
        <v>5841</v>
      </c>
      <c r="X742" s="1571">
        <f>OBRA!AS744</f>
        <v>77460.7</v>
      </c>
      <c r="Y742" s="310"/>
      <c r="Z742" s="310"/>
      <c r="AA742" s="5"/>
      <c r="AB742" s="314"/>
      <c r="AC742" s="318"/>
      <c r="AD742" s="353"/>
      <c r="AE742" s="353" t="s">
        <v>550</v>
      </c>
    </row>
    <row r="743" spans="1:31" ht="59.25" customHeight="1">
      <c r="A743" s="22" t="s">
        <v>2209</v>
      </c>
      <c r="B743" s="814" t="str">
        <f>'ADMININSTRACIÓN DIR - OBRA'!B745</f>
        <v>2021-2024</v>
      </c>
      <c r="C743" s="16">
        <f>OBRA!K745</f>
        <v>2023</v>
      </c>
      <c r="D743" s="1444"/>
      <c r="E743" s="17" t="str">
        <f>OBRA!N745</f>
        <v>CUENTA CORRIENTE</v>
      </c>
      <c r="F743" s="479" t="s">
        <v>1427</v>
      </c>
      <c r="G743" s="497" t="s">
        <v>5529</v>
      </c>
      <c r="H743" s="496" t="s">
        <v>5529</v>
      </c>
      <c r="I743" s="497" t="s">
        <v>5529</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5532</v>
      </c>
      <c r="P743" s="6">
        <f>OBRA!T745</f>
        <v>45056</v>
      </c>
      <c r="Q743" s="4">
        <f>OBRA!S745</f>
        <v>374761.47</v>
      </c>
      <c r="R743" s="5">
        <f>OBRA!U745</f>
        <v>45061</v>
      </c>
      <c r="S743" s="11">
        <f>OBRA!V745</f>
        <v>45086</v>
      </c>
      <c r="T743" s="1596" t="s">
        <v>4449</v>
      </c>
      <c r="U743" s="1616" t="s">
        <v>1427</v>
      </c>
      <c r="V743" s="500" t="s">
        <v>5529</v>
      </c>
      <c r="W743" s="589" t="s">
        <v>5529</v>
      </c>
      <c r="X743" s="1571">
        <f>OBRA!AS745</f>
        <v>86551.25</v>
      </c>
      <c r="Y743" s="310"/>
      <c r="Z743" s="310"/>
      <c r="AA743" s="5"/>
      <c r="AB743" s="314"/>
      <c r="AC743" s="318"/>
      <c r="AD743" s="353"/>
      <c r="AE743" s="353" t="s">
        <v>550</v>
      </c>
    </row>
    <row r="744" spans="1:31" ht="81.75" customHeight="1">
      <c r="A744" s="22" t="s">
        <v>2209</v>
      </c>
      <c r="B744" s="814" t="str">
        <f>'ADMININSTRACIÓN DIR - OBRA'!B746</f>
        <v>2021-2024</v>
      </c>
      <c r="C744" s="16">
        <f>OBRA!K746</f>
        <v>2023</v>
      </c>
      <c r="D744" s="1444"/>
      <c r="E744" s="17" t="str">
        <f>OBRA!N746</f>
        <v>CUENTA CORRIENTE</v>
      </c>
      <c r="F744" s="479" t="s">
        <v>1427</v>
      </c>
      <c r="G744" s="497" t="s">
        <v>5847</v>
      </c>
      <c r="H744" s="496" t="s">
        <v>5847</v>
      </c>
      <c r="I744" s="497" t="s">
        <v>5847</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5532</v>
      </c>
      <c r="P744" s="238">
        <f>OBRA!T746</f>
        <v>45056</v>
      </c>
      <c r="Q744" s="237">
        <f>OBRA!S746</f>
        <v>835320.31999999995</v>
      </c>
      <c r="R744" s="239">
        <f>OBRA!U746</f>
        <v>45061</v>
      </c>
      <c r="S744" s="206">
        <f>OBRA!V746</f>
        <v>45090</v>
      </c>
      <c r="T744" s="1596" t="s">
        <v>4449</v>
      </c>
      <c r="U744" s="1616" t="s">
        <v>1427</v>
      </c>
      <c r="V744" s="500" t="s">
        <v>5847</v>
      </c>
      <c r="W744" s="589" t="s">
        <v>5847</v>
      </c>
      <c r="X744" s="281">
        <f>OBRA!AS746</f>
        <v>80363.960000000006</v>
      </c>
      <c r="Y744" s="1997"/>
      <c r="Z744" s="310"/>
      <c r="AA744" s="5"/>
      <c r="AB744" s="314"/>
      <c r="AC744" s="318"/>
      <c r="AD744" s="353"/>
      <c r="AE744" s="353"/>
    </row>
    <row r="745" spans="1:31" ht="80.25" customHeight="1">
      <c r="A745" s="22" t="s">
        <v>2209</v>
      </c>
      <c r="B745" s="814" t="str">
        <f>'ADMININSTRACIÓN DIR - OBRA'!B747</f>
        <v>2021-2024</v>
      </c>
      <c r="C745" s="16">
        <f>OBRA!K747</f>
        <v>2023</v>
      </c>
      <c r="D745" s="1444"/>
      <c r="E745" s="17" t="str">
        <f>OBRA!N747</f>
        <v>CUENTA CORRIENTE</v>
      </c>
      <c r="F745" s="479" t="s">
        <v>1427</v>
      </c>
      <c r="G745" s="497" t="s">
        <v>5530</v>
      </c>
      <c r="H745" s="496" t="s">
        <v>5530</v>
      </c>
      <c r="I745" s="497" t="s">
        <v>5530</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5532</v>
      </c>
      <c r="P745" s="6">
        <f>OBRA!T747</f>
        <v>45059</v>
      </c>
      <c r="Q745" s="4">
        <f>OBRA!S747</f>
        <v>168796.66</v>
      </c>
      <c r="R745" s="5">
        <f>OBRA!U747</f>
        <v>45075</v>
      </c>
      <c r="S745" s="11">
        <f>OBRA!V747</f>
        <v>45094</v>
      </c>
      <c r="T745" s="1596" t="s">
        <v>4449</v>
      </c>
      <c r="U745" s="1616" t="s">
        <v>1427</v>
      </c>
      <c r="V745" s="500" t="s">
        <v>5530</v>
      </c>
      <c r="W745" s="589" t="s">
        <v>5530</v>
      </c>
      <c r="X745" s="1571">
        <f>OBRA!AS747</f>
        <v>42295.46</v>
      </c>
      <c r="Y745" s="500" t="s">
        <v>5519</v>
      </c>
      <c r="Z745" s="310">
        <v>45086</v>
      </c>
      <c r="AA745" s="905">
        <v>254158.09</v>
      </c>
      <c r="AB745" s="314" t="s">
        <v>67</v>
      </c>
      <c r="AC745" s="318" t="s">
        <v>3555</v>
      </c>
      <c r="AD745" s="353"/>
      <c r="AE745" s="353" t="s">
        <v>550</v>
      </c>
    </row>
    <row r="746" spans="1:31" ht="84.75" customHeight="1">
      <c r="A746" s="22" t="s">
        <v>2209</v>
      </c>
      <c r="B746" s="814" t="str">
        <f>'ADMININSTRACIÓN DIR - OBRA'!B748</f>
        <v>2021-2024</v>
      </c>
      <c r="C746" s="16">
        <f>OBRA!K748</f>
        <v>2023</v>
      </c>
      <c r="D746" s="1444"/>
      <c r="E746" s="17" t="str">
        <f>OBRA!N748</f>
        <v>CUENTA CORRIENTE</v>
      </c>
      <c r="F746" s="479" t="s">
        <v>1427</v>
      </c>
      <c r="G746" s="497" t="s">
        <v>5853</v>
      </c>
      <c r="H746" s="496" t="s">
        <v>5853</v>
      </c>
      <c r="I746" s="497" t="s">
        <v>5853</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5532</v>
      </c>
      <c r="P746" s="6">
        <f>OBRA!T748</f>
        <v>45141</v>
      </c>
      <c r="Q746" s="4">
        <f>OBRA!S748</f>
        <v>254339.78</v>
      </c>
      <c r="R746" s="5">
        <f>OBRA!U748</f>
        <v>45187</v>
      </c>
      <c r="S746" s="11">
        <f>OBRA!V748</f>
        <v>45219</v>
      </c>
      <c r="T746" s="1596" t="s">
        <v>4449</v>
      </c>
      <c r="U746" s="1616" t="s">
        <v>1427</v>
      </c>
      <c r="V746" s="500" t="s">
        <v>5853</v>
      </c>
      <c r="W746" s="589" t="s">
        <v>5853</v>
      </c>
      <c r="X746" s="1571">
        <f>OBRA!AS748</f>
        <v>135867.75</v>
      </c>
      <c r="Y746" s="310"/>
      <c r="Z746" s="310"/>
      <c r="AA746" s="5"/>
      <c r="AB746" s="314"/>
      <c r="AC746" s="318"/>
      <c r="AD746" s="353"/>
      <c r="AE746" s="353" t="s">
        <v>550</v>
      </c>
    </row>
    <row r="747" spans="1:31" ht="77.25" customHeight="1">
      <c r="A747" s="22" t="s">
        <v>2209</v>
      </c>
      <c r="B747" s="814" t="str">
        <f>'ADMININSTRACIÓN DIR - OBRA'!B749</f>
        <v>2021-2024</v>
      </c>
      <c r="C747" s="16">
        <f>OBRA!K749</f>
        <v>2023</v>
      </c>
      <c r="D747" s="1444"/>
      <c r="E747" s="17" t="str">
        <f>OBRA!N749</f>
        <v>RAMO 33</v>
      </c>
      <c r="F747" s="479" t="s">
        <v>1427</v>
      </c>
      <c r="G747" s="497" t="s">
        <v>6098</v>
      </c>
      <c r="H747" s="496" t="s">
        <v>6098</v>
      </c>
      <c r="I747" s="497" t="s">
        <v>6098</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5532</v>
      </c>
      <c r="P747" s="6">
        <f>OBRA!T749</f>
        <v>45141</v>
      </c>
      <c r="Q747" s="4">
        <f>OBRA!S749</f>
        <v>553159.56000000006</v>
      </c>
      <c r="R747" s="5">
        <f>OBRA!U749</f>
        <v>45148</v>
      </c>
      <c r="S747" s="11">
        <f>OBRA!V749</f>
        <v>45170</v>
      </c>
      <c r="T747" s="1381" t="s">
        <v>3819</v>
      </c>
      <c r="U747" s="1615"/>
      <c r="V747" s="500" t="s">
        <v>6098</v>
      </c>
      <c r="W747" s="438"/>
      <c r="X747" s="1005">
        <f>OBRA!AS749</f>
        <v>292025.84999999998</v>
      </c>
      <c r="Y747" s="310"/>
      <c r="Z747" s="310"/>
      <c r="AA747" s="5"/>
      <c r="AB747" s="314"/>
      <c r="AC747" s="318"/>
      <c r="AD747" s="353"/>
      <c r="AE747" s="353"/>
    </row>
    <row r="748" spans="1:31" ht="77.25" customHeight="1">
      <c r="A748" s="22" t="s">
        <v>2209</v>
      </c>
      <c r="B748" s="814" t="str">
        <f>'ADMININSTRACIÓN DIR - OBRA'!B750</f>
        <v>2021-2024</v>
      </c>
      <c r="C748" s="16">
        <f>OBRA!K750</f>
        <v>2023</v>
      </c>
      <c r="D748" s="1444"/>
      <c r="E748" s="17" t="str">
        <f>OBRA!N750</f>
        <v>RAMO 33</v>
      </c>
      <c r="F748" s="479" t="s">
        <v>1427</v>
      </c>
      <c r="G748" s="497" t="s">
        <v>6100</v>
      </c>
      <c r="H748" s="496" t="s">
        <v>6100</v>
      </c>
      <c r="I748" s="163"/>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5532</v>
      </c>
      <c r="P748" s="6">
        <f>OBRA!T750</f>
        <v>45105</v>
      </c>
      <c r="Q748" s="4">
        <f>OBRA!S750</f>
        <v>724743.66</v>
      </c>
      <c r="R748" s="5">
        <f>OBRA!U750</f>
        <v>45110</v>
      </c>
      <c r="S748" s="11">
        <f>OBRA!V750</f>
        <v>45141</v>
      </c>
      <c r="T748" s="1381" t="s">
        <v>3819</v>
      </c>
      <c r="U748" s="1615"/>
      <c r="V748" s="500" t="s">
        <v>6100</v>
      </c>
      <c r="W748" s="589" t="s">
        <v>6100</v>
      </c>
      <c r="X748" s="1005">
        <f>OBRA!AS750</f>
        <v>362371.81</v>
      </c>
      <c r="Y748" s="310"/>
      <c r="Z748" s="310"/>
      <c r="AA748" s="5"/>
      <c r="AB748" s="314"/>
      <c r="AC748" s="318"/>
      <c r="AD748" s="353"/>
      <c r="AE748" s="353"/>
    </row>
    <row r="749" spans="1:31" ht="89.25" customHeight="1">
      <c r="A749" s="22" t="s">
        <v>2209</v>
      </c>
      <c r="B749" s="814" t="str">
        <f>'ADMININSTRACIÓN DIR - OBRA'!B751</f>
        <v>2021-2024</v>
      </c>
      <c r="C749" s="16">
        <f>OBRA!K751</f>
        <v>2023</v>
      </c>
      <c r="D749" s="1444"/>
      <c r="E749" s="17" t="str">
        <f>OBRA!N751</f>
        <v>RAMO 33</v>
      </c>
      <c r="F749" s="479" t="s">
        <v>1427</v>
      </c>
      <c r="G749" s="497" t="s">
        <v>6102</v>
      </c>
      <c r="H749" s="496" t="s">
        <v>6102</v>
      </c>
      <c r="I749" s="497" t="s">
        <v>6102</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5532</v>
      </c>
      <c r="P749" s="6">
        <f>OBRA!T751</f>
        <v>45105</v>
      </c>
      <c r="Q749" s="4">
        <f>OBRA!S751</f>
        <v>543995.47</v>
      </c>
      <c r="R749" s="5">
        <f>OBRA!U751</f>
        <v>45110</v>
      </c>
      <c r="S749" s="11">
        <f>OBRA!V751</f>
        <v>45141</v>
      </c>
      <c r="T749" s="1381" t="s">
        <v>3819</v>
      </c>
      <c r="U749" s="1615"/>
      <c r="V749" s="500" t="s">
        <v>6102</v>
      </c>
      <c r="W749" s="589" t="s">
        <v>6102</v>
      </c>
      <c r="X749" s="1005">
        <f>OBRA!AS751</f>
        <v>163198.62</v>
      </c>
      <c r="Y749" s="310"/>
      <c r="Z749" s="310"/>
      <c r="AA749" s="5"/>
      <c r="AB749" s="314"/>
      <c r="AC749" s="318"/>
      <c r="AD749" s="353"/>
      <c r="AE749" s="353" t="s">
        <v>550</v>
      </c>
    </row>
    <row r="750" spans="1:31" ht="84.75" customHeight="1">
      <c r="A750" s="22" t="s">
        <v>2209</v>
      </c>
      <c r="B750" s="814" t="str">
        <f>'ADMININSTRACIÓN DIR - OBRA'!B752</f>
        <v>2021-2024</v>
      </c>
      <c r="C750" s="16">
        <f>OBRA!K752</f>
        <v>2023</v>
      </c>
      <c r="D750" s="1444"/>
      <c r="E750" s="17" t="str">
        <f>OBRA!N752</f>
        <v>CUENTA CORRIENTE</v>
      </c>
      <c r="F750" s="479" t="s">
        <v>1427</v>
      </c>
      <c r="G750" s="497" t="s">
        <v>6104</v>
      </c>
      <c r="H750" s="496" t="s">
        <v>6104</v>
      </c>
      <c r="I750" s="497" t="s">
        <v>6104</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5532</v>
      </c>
      <c r="P750" s="6">
        <f>OBRA!T752</f>
        <v>45105</v>
      </c>
      <c r="Q750" s="4">
        <f>OBRA!S752</f>
        <v>703136.32</v>
      </c>
      <c r="R750" s="5">
        <f>OBRA!U752</f>
        <v>45113</v>
      </c>
      <c r="S750" s="11">
        <f>OBRA!V752</f>
        <v>45168</v>
      </c>
      <c r="T750" s="1596" t="s">
        <v>4449</v>
      </c>
      <c r="U750" s="1616" t="s">
        <v>1427</v>
      </c>
      <c r="V750" s="538"/>
      <c r="W750" s="589" t="s">
        <v>6104</v>
      </c>
      <c r="X750" s="1005">
        <f>OBRA!AS752</f>
        <v>368380.80000000005</v>
      </c>
      <c r="Y750" s="310"/>
      <c r="Z750" s="310"/>
      <c r="AA750" s="5"/>
      <c r="AB750" s="314"/>
      <c r="AC750" s="318"/>
      <c r="AD750" s="353"/>
      <c r="AE750" s="353"/>
    </row>
    <row r="751" spans="1:31" ht="84" customHeight="1">
      <c r="A751" s="22" t="s">
        <v>2209</v>
      </c>
      <c r="B751" s="814" t="str">
        <f>'ADMININSTRACIÓN DIR - OBRA'!B753</f>
        <v>2021-2024</v>
      </c>
      <c r="C751" s="16">
        <f>OBRA!K753</f>
        <v>2023</v>
      </c>
      <c r="D751" s="1444"/>
      <c r="E751" s="17" t="str">
        <f>OBRA!N753</f>
        <v>CUENTA CORRIENTE</v>
      </c>
      <c r="F751" s="479" t="s">
        <v>1427</v>
      </c>
      <c r="G751" s="497" t="s">
        <v>6108</v>
      </c>
      <c r="H751" s="496" t="s">
        <v>6108</v>
      </c>
      <c r="I751" s="497" t="s">
        <v>6108</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5532</v>
      </c>
      <c r="P751" s="6">
        <f>OBRA!T753</f>
        <v>45134</v>
      </c>
      <c r="Q751" s="4">
        <f>OBRA!S753</f>
        <v>821212.44</v>
      </c>
      <c r="R751" s="5">
        <f>OBRA!U753</f>
        <v>45145</v>
      </c>
      <c r="S751" s="11">
        <f>OBRA!V753</f>
        <v>45169</v>
      </c>
      <c r="T751" s="1596" t="s">
        <v>4449</v>
      </c>
      <c r="U751" s="1616" t="s">
        <v>1427</v>
      </c>
      <c r="V751" s="500" t="s">
        <v>6108</v>
      </c>
      <c r="W751" s="589" t="s">
        <v>6108</v>
      </c>
      <c r="X751" s="1005">
        <f>OBRA!AS753</f>
        <v>574838.70000000007</v>
      </c>
      <c r="Y751" s="310"/>
      <c r="Z751" s="310"/>
      <c r="AA751" s="5"/>
      <c r="AB751" s="314"/>
      <c r="AC751" s="318"/>
      <c r="AD751" s="353"/>
      <c r="AE751" s="353"/>
    </row>
    <row r="752" spans="1:31" ht="54" hidden="1" customHeight="1">
      <c r="A752" s="22" t="s">
        <v>2209</v>
      </c>
      <c r="B752" s="814">
        <f>'ADMININSTRACIÓN DIR - OBRA'!B1022</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'ADMININSTRACIÓN DIR - OBRA'!B1023</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'ADMININSTRACIÓN DIR - OBRA'!B756</f>
        <v>2021-2024</v>
      </c>
      <c r="C754" s="16">
        <f>OBRA!K756</f>
        <v>2023</v>
      </c>
      <c r="D754" s="1444"/>
      <c r="E754" s="17" t="str">
        <f>OBRA!N756</f>
        <v>RAMO 33</v>
      </c>
      <c r="F754" s="479" t="s">
        <v>1427</v>
      </c>
      <c r="G754" s="497" t="s">
        <v>6117</v>
      </c>
      <c r="H754" s="496" t="s">
        <v>6117</v>
      </c>
      <c r="I754" s="497" t="s">
        <v>6117</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5532</v>
      </c>
      <c r="P754" s="6">
        <f>OBRA!T756</f>
        <v>45168</v>
      </c>
      <c r="Q754" s="4">
        <f>OBRA!S756</f>
        <v>2049615.46</v>
      </c>
      <c r="R754" s="5">
        <f>OBRA!U756</f>
        <v>45180</v>
      </c>
      <c r="S754" s="11">
        <f>OBRA!V756</f>
        <v>45230</v>
      </c>
      <c r="T754" s="1381" t="s">
        <v>3819</v>
      </c>
      <c r="U754" s="1615"/>
      <c r="V754" s="500" t="s">
        <v>6117</v>
      </c>
      <c r="W754" s="589" t="s">
        <v>6117</v>
      </c>
      <c r="X754" s="1005">
        <f>OBRA!AS756</f>
        <v>1025796.7799999999</v>
      </c>
      <c r="Y754" s="310"/>
      <c r="Z754" s="310"/>
      <c r="AA754" s="5"/>
      <c r="AB754" s="314"/>
      <c r="AC754" s="318"/>
      <c r="AD754" s="353"/>
      <c r="AE754" s="353"/>
    </row>
    <row r="755" spans="1:31" ht="76.5" customHeight="1">
      <c r="A755" s="22" t="s">
        <v>2209</v>
      </c>
      <c r="B755" s="814" t="str">
        <f>'ADMININSTRACIÓN DIR - OBRA'!B757</f>
        <v>2021-2024</v>
      </c>
      <c r="C755" s="16">
        <f>OBRA!K757</f>
        <v>2023</v>
      </c>
      <c r="D755" s="1444"/>
      <c r="E755" s="17" t="str">
        <f>OBRA!N757</f>
        <v>CUENTA CORRIENTE</v>
      </c>
      <c r="F755" s="479" t="s">
        <v>1427</v>
      </c>
      <c r="G755" s="497" t="s">
        <v>6120</v>
      </c>
      <c r="H755" s="496" t="s">
        <v>6120</v>
      </c>
      <c r="I755" s="497" t="s">
        <v>6120</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5532</v>
      </c>
      <c r="P755" s="6">
        <f>OBRA!T757</f>
        <v>45166</v>
      </c>
      <c r="Q755" s="4">
        <f>OBRA!S757</f>
        <v>304838.93</v>
      </c>
      <c r="R755" s="5">
        <f>OBRA!U757</f>
        <v>45168</v>
      </c>
      <c r="S755" s="11">
        <f>OBRA!V757</f>
        <v>45199</v>
      </c>
      <c r="T755" s="1596" t="s">
        <v>4449</v>
      </c>
      <c r="U755" s="1616" t="s">
        <v>1427</v>
      </c>
      <c r="V755" s="538"/>
      <c r="W755" s="438"/>
      <c r="X755" s="537">
        <f>OBRA!AS757</f>
        <v>0</v>
      </c>
      <c r="Y755" s="1997"/>
      <c r="Z755" s="310"/>
      <c r="AA755" s="5"/>
      <c r="AB755" s="314"/>
      <c r="AC755" s="318"/>
      <c r="AD755" s="353"/>
      <c r="AE755" s="353"/>
    </row>
    <row r="756" spans="1:31" ht="95.25" customHeight="1">
      <c r="A756" s="22" t="s">
        <v>2209</v>
      </c>
      <c r="B756" s="814" t="str">
        <f>'ADMININSTRACIÓN DIR - OBRA'!B758</f>
        <v>2021-2024</v>
      </c>
      <c r="C756" s="16">
        <f>OBRA!K758</f>
        <v>2023</v>
      </c>
      <c r="D756" s="1444"/>
      <c r="E756" s="17" t="str">
        <f>OBRA!N758</f>
        <v>RAMO 33</v>
      </c>
      <c r="F756" s="479" t="s">
        <v>1427</v>
      </c>
      <c r="G756" s="497" t="s">
        <v>6162</v>
      </c>
      <c r="H756" s="496" t="s">
        <v>6162</v>
      </c>
      <c r="I756" s="497" t="s">
        <v>6162</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6043</v>
      </c>
      <c r="P756" s="6">
        <f>OBRA!T758</f>
        <v>45203</v>
      </c>
      <c r="Q756" s="4">
        <f>OBRA!S758</f>
        <v>853249.52</v>
      </c>
      <c r="R756" s="5">
        <f>OBRA!U758</f>
        <v>45209</v>
      </c>
      <c r="S756" s="11">
        <f>OBRA!V758</f>
        <v>45222</v>
      </c>
      <c r="T756" s="1381" t="s">
        <v>3819</v>
      </c>
      <c r="U756" s="1615"/>
      <c r="V756" s="500" t="s">
        <v>6162</v>
      </c>
      <c r="W756" s="589" t="s">
        <v>6162</v>
      </c>
      <c r="X756" s="1005">
        <f>OBRA!AS758</f>
        <v>442426.98</v>
      </c>
      <c r="Y756" s="310"/>
      <c r="Z756" s="310"/>
      <c r="AA756" s="5"/>
      <c r="AB756" s="314"/>
      <c r="AC756" s="318"/>
      <c r="AD756" s="353"/>
      <c r="AE756" s="353"/>
    </row>
    <row r="757" spans="1:31" ht="93" hidden="1" customHeight="1">
      <c r="A757" s="22" t="s">
        <v>2209</v>
      </c>
      <c r="B757" s="814">
        <f>'ADMININSTRACIÓN DIR - OBRA'!B1027</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customHeight="1">
      <c r="A758" s="22" t="s">
        <v>2209</v>
      </c>
      <c r="B758" s="814" t="str">
        <f>'ADMININSTRACIÓN DIR - OBRA'!B760</f>
        <v>2021-2024</v>
      </c>
      <c r="C758" s="16">
        <f>OBRA!K760</f>
        <v>2023</v>
      </c>
      <c r="D758" s="1444"/>
      <c r="E758" s="17" t="str">
        <f>OBRA!N760</f>
        <v>CUENTA CORRIENTE</v>
      </c>
      <c r="F758" s="479" t="s">
        <v>1427</v>
      </c>
      <c r="G758" s="497" t="s">
        <v>5874</v>
      </c>
      <c r="H758" s="511"/>
      <c r="I758" s="497" t="s">
        <v>5874</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6043</v>
      </c>
      <c r="P758" s="6">
        <f>OBRA!T760</f>
        <v>45212</v>
      </c>
      <c r="Q758" s="4">
        <f>OBRA!S760</f>
        <v>330252</v>
      </c>
      <c r="R758" s="5">
        <f>OBRA!U760</f>
        <v>45222</v>
      </c>
      <c r="S758" s="11">
        <f>OBRA!V760</f>
        <v>45282</v>
      </c>
      <c r="T758" s="1596" t="s">
        <v>4449</v>
      </c>
      <c r="U758" s="1616" t="s">
        <v>1427</v>
      </c>
      <c r="V758" s="500" t="s">
        <v>5875</v>
      </c>
      <c r="W758" s="589" t="s">
        <v>5875</v>
      </c>
      <c r="X758" s="1005">
        <f>OBRA!AS760</f>
        <v>66050.399999999994</v>
      </c>
      <c r="Y758" s="310"/>
      <c r="Z758" s="310"/>
      <c r="AA758" s="5"/>
      <c r="AB758" s="314"/>
      <c r="AC758" s="318"/>
      <c r="AD758" s="353"/>
      <c r="AE758" s="353"/>
    </row>
    <row r="759" spans="1:31" ht="57.75" hidden="1" customHeight="1">
      <c r="A759" s="22" t="s">
        <v>2209</v>
      </c>
      <c r="B759" s="814">
        <f>'ADMININSTRACIÓN DIR - OBRA'!B1029</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customHeight="1">
      <c r="A760" s="22" t="s">
        <v>2209</v>
      </c>
      <c r="B760" s="814" t="str">
        <f>'ADMININSTRACIÓN DIR - OBRA'!B762</f>
        <v>2021-2024</v>
      </c>
      <c r="C760" s="16">
        <f>OBRA!K762</f>
        <v>2023</v>
      </c>
      <c r="D760" s="1444"/>
      <c r="E760" s="17" t="str">
        <f>OBRA!N762</f>
        <v>CUENTA CORRIENTE</v>
      </c>
      <c r="F760" s="479" t="s">
        <v>1427</v>
      </c>
      <c r="G760" s="497" t="s">
        <v>6129</v>
      </c>
      <c r="H760" s="511"/>
      <c r="I760" s="497" t="s">
        <v>6129</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6043</v>
      </c>
      <c r="P760" s="6">
        <f>OBRA!T762</f>
        <v>45247</v>
      </c>
      <c r="Q760" s="4">
        <f>OBRA!S762</f>
        <v>441962.08</v>
      </c>
      <c r="R760" s="5">
        <f>OBRA!U762</f>
        <v>45245</v>
      </c>
      <c r="S760" s="11">
        <f>OBRA!V762</f>
        <v>45290</v>
      </c>
      <c r="T760" s="1596" t="s">
        <v>4449</v>
      </c>
      <c r="U760" s="1616" t="s">
        <v>1427</v>
      </c>
      <c r="V760" s="500" t="s">
        <v>6129</v>
      </c>
      <c r="W760" s="589" t="s">
        <v>6129</v>
      </c>
      <c r="X760" s="1005">
        <f>OBRA!AS762</f>
        <v>88392.4</v>
      </c>
      <c r="Y760" s="310"/>
      <c r="Z760" s="310"/>
      <c r="AA760" s="5"/>
      <c r="AB760" s="314"/>
      <c r="AC760" s="318"/>
      <c r="AD760" s="353"/>
      <c r="AE760" s="353"/>
    </row>
    <row r="761" spans="1:31" ht="49.5" hidden="1" customHeight="1">
      <c r="A761" s="22" t="s">
        <v>2209</v>
      </c>
      <c r="B761" s="814">
        <f>'ADMININSTRACIÓN DIR - OBRA'!B1031</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customHeight="1">
      <c r="A762" s="22" t="s">
        <v>2209</v>
      </c>
      <c r="B762" s="814" t="str">
        <f>'ADMININSTRACIÓN DIR - OBRA'!B764</f>
        <v>2021-2024</v>
      </c>
      <c r="C762" s="16">
        <f>OBRA!K764</f>
        <v>2023</v>
      </c>
      <c r="D762" s="1444"/>
      <c r="E762" s="17" t="str">
        <f>OBRA!N764</f>
        <v>CUENTA CORRIENTE</v>
      </c>
      <c r="F762" s="479" t="s">
        <v>1427</v>
      </c>
      <c r="G762" s="497" t="s">
        <v>6133</v>
      </c>
      <c r="H762" s="496" t="s">
        <v>6133</v>
      </c>
      <c r="I762" s="497" t="s">
        <v>6133</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6043</v>
      </c>
      <c r="P762" s="67">
        <f>OBRA!T764</f>
        <v>45258</v>
      </c>
      <c r="Q762" s="79">
        <f>OBRA!S764</f>
        <v>1515153.08</v>
      </c>
      <c r="R762" s="5">
        <f>OBRA!U764</f>
        <v>45264</v>
      </c>
      <c r="S762" s="11">
        <f>OBRA!V764</f>
        <v>45374</v>
      </c>
      <c r="T762" s="208" t="s">
        <v>4449</v>
      </c>
      <c r="U762" s="207" t="s">
        <v>1427</v>
      </c>
      <c r="V762" s="500" t="s">
        <v>6133</v>
      </c>
      <c r="W762" s="589" t="s">
        <v>6133</v>
      </c>
      <c r="X762" s="281">
        <f>OBRA!AS764</f>
        <v>3051302.18</v>
      </c>
      <c r="Y762" s="1997"/>
      <c r="Z762" s="310"/>
      <c r="AA762" s="5"/>
      <c r="AB762" s="314"/>
      <c r="AC762" s="318"/>
      <c r="AD762" s="353"/>
      <c r="AE762" s="353"/>
    </row>
    <row r="763" spans="1:31" ht="79.5" customHeight="1">
      <c r="A763" s="22" t="s">
        <v>2209</v>
      </c>
      <c r="B763" s="814" t="str">
        <f>'ADMININSTRACIÓN DIR - OBRA'!B765</f>
        <v>2021-2024</v>
      </c>
      <c r="C763" s="16">
        <f>OBRA!K765</f>
        <v>2023</v>
      </c>
      <c r="D763" s="1444"/>
      <c r="E763" s="17" t="str">
        <f>OBRA!N765</f>
        <v>CUENTA CORRIENTE</v>
      </c>
      <c r="F763" s="479" t="s">
        <v>1427</v>
      </c>
      <c r="G763" s="497" t="s">
        <v>5903</v>
      </c>
      <c r="H763" s="511"/>
      <c r="I763" s="497" t="s">
        <v>5903</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6043</v>
      </c>
      <c r="P763" s="6">
        <f>OBRA!T765</f>
        <v>45258</v>
      </c>
      <c r="Q763" s="4">
        <f>OBRA!S765</f>
        <v>1777367.51</v>
      </c>
      <c r="R763" s="5">
        <f>OBRA!U765</f>
        <v>45264</v>
      </c>
      <c r="S763" s="11">
        <f>OBRA!V765</f>
        <v>45374</v>
      </c>
      <c r="T763" s="1596" t="s">
        <v>4449</v>
      </c>
      <c r="U763" s="1616" t="s">
        <v>1427</v>
      </c>
      <c r="V763" s="500" t="s">
        <v>5903</v>
      </c>
      <c r="W763" s="589" t="s">
        <v>5903</v>
      </c>
      <c r="X763" s="1005">
        <f>OBRA!AS765</f>
        <v>915633.23</v>
      </c>
      <c r="Y763" s="310"/>
      <c r="Z763" s="310"/>
      <c r="AA763" s="5"/>
      <c r="AB763" s="314"/>
      <c r="AC763" s="318"/>
      <c r="AD763" s="353"/>
      <c r="AE763" s="353"/>
    </row>
    <row r="764" spans="1:31" ht="90.75" customHeight="1">
      <c r="A764" s="22" t="s">
        <v>2209</v>
      </c>
      <c r="B764" s="814" t="str">
        <f>'ADMININSTRACIÓN DIR - OBRA'!B766</f>
        <v>2021-2024</v>
      </c>
      <c r="C764" s="16">
        <f>OBRA!K766</f>
        <v>2023</v>
      </c>
      <c r="D764" s="1444"/>
      <c r="E764" s="17" t="str">
        <f>OBRA!N766</f>
        <v>RAMO 33</v>
      </c>
      <c r="F764" s="479" t="s">
        <v>1427</v>
      </c>
      <c r="G764" s="497" t="s">
        <v>5904</v>
      </c>
      <c r="H764" s="496" t="s">
        <v>5904</v>
      </c>
      <c r="I764" s="497" t="s">
        <v>5904</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6043</v>
      </c>
      <c r="P764" s="6">
        <f>OBRA!T766</f>
        <v>45257</v>
      </c>
      <c r="Q764" s="4">
        <f>OBRA!S766</f>
        <v>521271.1</v>
      </c>
      <c r="R764" s="5">
        <f>OBRA!U766</f>
        <v>45258</v>
      </c>
      <c r="S764" s="11">
        <f>OBRA!V766</f>
        <v>45276</v>
      </c>
      <c r="T764" s="1381" t="s">
        <v>3819</v>
      </c>
      <c r="U764" s="1615"/>
      <c r="V764" s="500" t="s">
        <v>5904</v>
      </c>
      <c r="W764" s="589" t="s">
        <v>5904</v>
      </c>
      <c r="X764" s="1005">
        <f>OBRA!AS766</f>
        <v>168143.53</v>
      </c>
      <c r="Y764" s="310"/>
      <c r="Z764" s="310"/>
      <c r="AA764" s="5"/>
      <c r="AB764" s="314"/>
      <c r="AC764" s="318"/>
      <c r="AD764" s="353"/>
      <c r="AE764" s="353"/>
    </row>
    <row r="765" spans="1:31" ht="82.5" customHeight="1">
      <c r="A765" s="22" t="s">
        <v>2209</v>
      </c>
      <c r="B765" s="814" t="str">
        <f>'ADMININSTRACIÓN DIR - OBRA'!B767</f>
        <v>2021-2024</v>
      </c>
      <c r="C765" s="16">
        <f>OBRA!K767</f>
        <v>2023</v>
      </c>
      <c r="D765" s="1444"/>
      <c r="E765" s="17" t="str">
        <f>OBRA!N767</f>
        <v xml:space="preserve">FORTAMUN </v>
      </c>
      <c r="F765" s="479" t="s">
        <v>1427</v>
      </c>
      <c r="G765" s="163"/>
      <c r="H765" s="496" t="s">
        <v>5905</v>
      </c>
      <c r="I765" s="497" t="s">
        <v>5905</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6043</v>
      </c>
      <c r="P765" s="6">
        <f>OBRA!T767</f>
        <v>45269</v>
      </c>
      <c r="Q765" s="4">
        <f>OBRA!S767</f>
        <v>810268.98</v>
      </c>
      <c r="R765" s="5">
        <f>OBRA!U767</f>
        <v>45271</v>
      </c>
      <c r="S765" s="11">
        <f>OBRA!V767</f>
        <v>45290</v>
      </c>
      <c r="T765" s="1381" t="s">
        <v>3819</v>
      </c>
      <c r="U765" s="1615"/>
      <c r="V765" s="500" t="s">
        <v>5905</v>
      </c>
      <c r="W765" s="589" t="s">
        <v>5905</v>
      </c>
      <c r="X765" s="1005">
        <f>OBRA!AS767</f>
        <v>179958.37</v>
      </c>
      <c r="Y765" s="310"/>
      <c r="Z765" s="310"/>
      <c r="AA765" s="5"/>
      <c r="AB765" s="314"/>
      <c r="AC765" s="318"/>
      <c r="AD765" s="353"/>
      <c r="AE765" s="353"/>
    </row>
    <row r="766" spans="1:31" ht="21" hidden="1" customHeight="1">
      <c r="A766" s="22" t="s">
        <v>2209</v>
      </c>
      <c r="B766" s="814">
        <f>'ADMININSTRACIÓN DIR - OBRA'!B1036</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customHeight="1">
      <c r="A767" s="22" t="s">
        <v>2209</v>
      </c>
      <c r="B767" s="814" t="str">
        <f>'ADMININSTRACIÓN DIR - OBRA'!B769</f>
        <v>2021-2024</v>
      </c>
      <c r="C767" s="16">
        <f>OBRA!K769</f>
        <v>2023</v>
      </c>
      <c r="D767" s="1444"/>
      <c r="E767" s="17" t="str">
        <f>OBRA!N769</f>
        <v xml:space="preserve">FORTAMUN </v>
      </c>
      <c r="F767" s="479" t="s">
        <v>1427</v>
      </c>
      <c r="G767" s="497" t="s">
        <v>6142</v>
      </c>
      <c r="H767" s="496" t="s">
        <v>6142</v>
      </c>
      <c r="I767" s="497" t="s">
        <v>6142</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6043</v>
      </c>
      <c r="P767" s="6">
        <f>OBRA!T769</f>
        <v>45275</v>
      </c>
      <c r="Q767" s="4">
        <f>OBRA!S769</f>
        <v>1060774.83</v>
      </c>
      <c r="R767" s="5">
        <f>OBRA!U769</f>
        <v>45278</v>
      </c>
      <c r="S767" s="11">
        <f>OBRA!V769</f>
        <v>45322</v>
      </c>
      <c r="T767" s="1381" t="s">
        <v>3819</v>
      </c>
      <c r="U767" s="1615"/>
      <c r="V767" s="500" t="s">
        <v>6142</v>
      </c>
      <c r="W767" s="589" t="s">
        <v>6142</v>
      </c>
      <c r="X767" s="1005">
        <f>OBRA!AS769</f>
        <v>212154.96</v>
      </c>
      <c r="Y767" s="310"/>
      <c r="Z767" s="310"/>
      <c r="AA767" s="5"/>
      <c r="AB767" s="314"/>
      <c r="AC767" s="318"/>
      <c r="AD767" s="353"/>
      <c r="AE767" s="353"/>
    </row>
    <row r="768" spans="1:31" ht="21" hidden="1" customHeight="1">
      <c r="A768" s="22" t="s">
        <v>2209</v>
      </c>
      <c r="B768" s="814">
        <f>'ADMININSTRACIÓN DIR - OBRA'!B1038</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'ADMININSTRACIÓN DIR - OBRA'!B1039</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'ADMININSTRACIÓN DIR - OBRA'!B1040</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'ADMININSTRACIÓN DIR - OBRA'!B1041</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'ADMININSTRACIÓN DIR - OBRA'!B1042</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'ADMININSTRACIÓN DIR - OBRA'!B1043</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'ADMININSTRACIÓN DIR - OBRA'!B1044</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'ADMININSTRACIÓN DIR - OBRA'!B1045</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'ADMININSTRACIÓN DIR - OBRA'!B1046</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'ADMININSTRACIÓN DIR - OBRA'!B1047</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'ADMININSTRACIÓN DIR - OBRA'!B1048</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'ADMININSTRACIÓN DIR - OBRA'!B1049</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'ADMININSTRACIÓN DIR - OBRA'!B1050</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'ADMININSTRACIÓN DIR - OBRA'!B1051</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'ADMININSTRACIÓN DIR - OBRA'!B1052</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'ADMININSTRACIÓN DIR - OBRA'!B1053</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'ADMININSTRACIÓN DIR - OBRA'!B1054</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'ADMININSTRACIÓN DIR - OBRA'!B1055</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'ADMININSTRACIÓN DIR - OBRA'!B1056</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'ADMININSTRACIÓN DIR - OBRA'!B1057</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'ADMININSTRACIÓN DIR - OBRA'!B1058</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'ADMININSTRACIÓN DIR - OBRA'!B1059</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'ADMININSTRACIÓN DIR - OBRA'!B1060</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'ADMININSTRACIÓN DIR - OBRA'!B1061</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'ADMININSTRACIÓN DIR - OBRA'!B1062</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'ADMININSTRACIÓN DIR - OBRA'!B1063</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'ADMININSTRACIÓN DIR - OBRA'!B1064</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'ADMININSTRACIÓN DIR - OBRA'!B1049</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'ADMININSTRACIÓN DIR - OBRA'!B1050</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'ADMININSTRACIÓN DIR - OBRA'!B1051</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'ADMININSTRACIÓN DIR - OBRA'!B1052</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'ADMININSTRACIÓN DIR - OBRA'!B1053</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'ADMININSTRACIÓN DIR - OBRA'!B1054</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'ADMININSTRACIÓN DIR - OBRA'!B1055</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'ADMININSTRACIÓN DIR - OBRA'!B1056</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'ADMININSTRACIÓN DIR - OBRA'!B1057</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'ADMININSTRACIÓN DIR - OBRA'!B1058</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'ADMININSTRACIÓN DIR - OBRA'!B1059</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'ADMININSTRACIÓN DIR - OBRA'!B1060</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'ADMININSTRACIÓN DIR - OBRA'!B1061</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'ADMININSTRACIÓN DIR - OBRA'!B1062</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'ADMININSTRACIÓN DIR - OBRA'!B1063</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'ADMININSTRACIÓN DIR - OBRA'!B1064</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'ADMININSTRACIÓN DIR - OBRA'!B1065</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'ADMININSTRACIÓN DIR - OBRA'!B1066</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'ADMININSTRACIÓN DIR - OBRA'!B1067</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'ADMININSTRACIÓN DIR - OBRA'!B1068</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'ADMININSTRACIÓN DIR - OBRA'!B1069</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'ADMININSTRACIÓN DIR - OBRA'!B1070</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'ADMININSTRACIÓN DIR - OBRA'!B1071</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'ADMININSTRACIÓN DIR - OBRA'!B1072</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'ADMININSTRACIÓN DIR - OBRA'!B1073</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'ADMININSTRACIÓN DIR - OBRA'!B1074</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'ADMININSTRACIÓN DIR - OBRA'!B1075</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'ADMININSTRACIÓN DIR - OBRA'!B1059</f>
        <v>0</v>
      </c>
      <c r="C822" s="16">
        <f>OBRA!K824</f>
        <v>2024</v>
      </c>
      <c r="D822" s="1444"/>
      <c r="E822" s="17" t="str">
        <f>OBRA!N824</f>
        <v>REGULARIZACIÓN DE VEHÍCULOS DE PROCEDENCIA EXTRANJERA - RAMO 23/2024</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'ADMININSTRACIÓN DIR - OBRA'!B1060</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'ADMININSTRACIÓN DIR - OBRA'!B1061</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'ADMININSTRACIÓN DIR - OBRA'!B1062</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'ADMININSTRACIÓN DIR - OBRA'!B1063</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'ADMININSTRACIÓN DIR - OBRA'!B1064</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'ADMININSTRACIÓN DIR - OBRA'!B1065</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'ADMININSTRACIÓN DIR - OBRA'!B1066</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'ADMININSTRACIÓN DIR - OBRA'!B1067</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'ADMININSTRACIÓN DIR - OBRA'!B1068</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customHeight="1">
      <c r="A832" s="22" t="s">
        <v>2209</v>
      </c>
      <c r="B832" s="814" t="str">
        <f>'ADMININSTRACIÓN DIR - OBRA'!B834</f>
        <v>2024-2027</v>
      </c>
      <c r="C832" s="16">
        <f>OBRA!K834</f>
        <v>2024</v>
      </c>
      <c r="D832" s="1444"/>
      <c r="E832" s="17" t="str">
        <f>OBRA!N834</f>
        <v>CUENTA CORRIENTE</v>
      </c>
      <c r="F832" s="479" t="s">
        <v>1427</v>
      </c>
      <c r="G832" s="497" t="s">
        <v>6052</v>
      </c>
      <c r="H832" s="496" t="s">
        <v>6052</v>
      </c>
      <c r="I832" s="497" t="s">
        <v>6052</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6044</v>
      </c>
      <c r="P832" s="6">
        <f>OBRA!T834</f>
        <v>45322</v>
      </c>
      <c r="Q832" s="4">
        <f>OBRA!S834</f>
        <v>653611.4</v>
      </c>
      <c r="R832" s="5">
        <f>OBRA!U834</f>
        <v>45331</v>
      </c>
      <c r="S832" s="11">
        <f>OBRA!V834</f>
        <v>45320</v>
      </c>
      <c r="T832" s="1596" t="s">
        <v>4449</v>
      </c>
      <c r="U832" s="207" t="s">
        <v>1427</v>
      </c>
      <c r="V832" s="500" t="s">
        <v>6052</v>
      </c>
      <c r="W832" s="589" t="s">
        <v>6052</v>
      </c>
      <c r="X832" s="1005">
        <f>OBRA!AS834</f>
        <v>448824.74000000005</v>
      </c>
      <c r="Y832" s="310"/>
      <c r="Z832" s="310"/>
      <c r="AA832" s="905"/>
      <c r="AB832" s="1956"/>
      <c r="AC832" s="318"/>
      <c r="AD832" s="353"/>
      <c r="AE832" s="353"/>
    </row>
    <row r="833" spans="1:31" ht="81.75" customHeight="1">
      <c r="A833" s="22" t="s">
        <v>2209</v>
      </c>
      <c r="B833" s="814" t="str">
        <f>'ADMININSTRACIÓN DIR - OBRA'!B835</f>
        <v>2024-2027</v>
      </c>
      <c r="C833" s="16">
        <f>OBRA!K835</f>
        <v>2024</v>
      </c>
      <c r="D833" s="1444"/>
      <c r="E833" s="17" t="str">
        <f>OBRA!N835</f>
        <v>CUENTA CORRIENTE</v>
      </c>
      <c r="F833" s="479" t="s">
        <v>1427</v>
      </c>
      <c r="G833" s="497" t="s">
        <v>6053</v>
      </c>
      <c r="H833" s="496" t="s">
        <v>6053</v>
      </c>
      <c r="I833" s="497" t="s">
        <v>6053</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6044</v>
      </c>
      <c r="P833" s="6">
        <f>OBRA!T835</f>
        <v>45335</v>
      </c>
      <c r="Q833" s="4">
        <f>OBRA!S835</f>
        <v>388619.27</v>
      </c>
      <c r="R833" s="5">
        <f>OBRA!U835</f>
        <v>45336</v>
      </c>
      <c r="S833" s="11">
        <f>OBRA!V835</f>
        <v>45351</v>
      </c>
      <c r="T833" s="1596" t="s">
        <v>4449</v>
      </c>
      <c r="U833" s="207" t="s">
        <v>1427</v>
      </c>
      <c r="V833" s="500" t="s">
        <v>6053</v>
      </c>
      <c r="W833" s="589" t="s">
        <v>6053</v>
      </c>
      <c r="X833" s="1005">
        <f>OBRA!AS835</f>
        <v>77635.87</v>
      </c>
      <c r="Y833" s="310"/>
      <c r="Z833" s="310"/>
      <c r="AA833" s="905"/>
      <c r="AB833" s="1956"/>
      <c r="AC833" s="318"/>
      <c r="AD833" s="353"/>
      <c r="AE833" s="353"/>
    </row>
    <row r="834" spans="1:31" ht="89.25" customHeight="1">
      <c r="A834" s="22" t="s">
        <v>2209</v>
      </c>
      <c r="B834" s="814" t="str">
        <f>'ADMININSTRACIÓN DIR - OBRA'!B836</f>
        <v>2021-2024</v>
      </c>
      <c r="C834" s="16">
        <f>OBRA!K836</f>
        <v>2024</v>
      </c>
      <c r="D834" s="1444"/>
      <c r="E834" s="17" t="str">
        <f>OBRA!N836</f>
        <v>CUENTA CORRIENTE</v>
      </c>
      <c r="F834" s="479" t="s">
        <v>1427</v>
      </c>
      <c r="G834" s="497" t="s">
        <v>6054</v>
      </c>
      <c r="H834" s="496" t="s">
        <v>6054</v>
      </c>
      <c r="I834" s="497" t="s">
        <v>6054</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6044</v>
      </c>
      <c r="P834" s="6">
        <f>OBRA!T836</f>
        <v>45331</v>
      </c>
      <c r="Q834" s="4">
        <f>OBRA!S836</f>
        <v>132689.01999999999</v>
      </c>
      <c r="R834" s="5">
        <f>OBRA!U836</f>
        <v>45332</v>
      </c>
      <c r="S834" s="11">
        <f>OBRA!V836</f>
        <v>45344</v>
      </c>
      <c r="T834" s="1596" t="s">
        <v>4449</v>
      </c>
      <c r="U834" s="207" t="s">
        <v>1427</v>
      </c>
      <c r="V834" s="500" t="s">
        <v>6054</v>
      </c>
      <c r="W834" s="589" t="s">
        <v>6054</v>
      </c>
      <c r="X834" s="1005">
        <f>OBRA!AS836</f>
        <v>24939.96</v>
      </c>
      <c r="Y834" s="310"/>
      <c r="Z834" s="310"/>
      <c r="AA834" s="905"/>
      <c r="AB834" s="1956"/>
      <c r="AC834" s="318"/>
      <c r="AD834" s="353"/>
      <c r="AE834" s="353"/>
    </row>
    <row r="835" spans="1:31" ht="21" hidden="1" customHeight="1">
      <c r="A835" s="22" t="s">
        <v>2209</v>
      </c>
      <c r="B835" s="814">
        <f>'ADMININSTRACIÓN DIR - OBRA'!B1072</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customHeight="1">
      <c r="A836" s="22" t="s">
        <v>2209</v>
      </c>
      <c r="B836" s="814" t="str">
        <f>'ADMININSTRACIÓN DIR - OBRA'!B838</f>
        <v>2021-2024</v>
      </c>
      <c r="C836" s="16">
        <f>OBRA!K838</f>
        <v>2024</v>
      </c>
      <c r="D836" s="1444"/>
      <c r="E836" s="17" t="str">
        <f>OBRA!N838</f>
        <v>CUENTA CORRIENTE</v>
      </c>
      <c r="F836" s="479" t="s">
        <v>1427</v>
      </c>
      <c r="G836" s="497" t="s">
        <v>6167</v>
      </c>
      <c r="H836" s="496" t="s">
        <v>6167</v>
      </c>
      <c r="I836" s="497" t="s">
        <v>6167</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6044</v>
      </c>
      <c r="P836" s="6">
        <f>OBRA!T838</f>
        <v>45356</v>
      </c>
      <c r="Q836" s="4">
        <f>OBRA!S838</f>
        <v>1863104.13</v>
      </c>
      <c r="R836" s="5">
        <f>OBRA!U838</f>
        <v>45362</v>
      </c>
      <c r="S836" s="11">
        <f>OBRA!V838</f>
        <v>45376</v>
      </c>
      <c r="T836" s="1596" t="s">
        <v>4449</v>
      </c>
      <c r="U836" s="1616" t="s">
        <v>1427</v>
      </c>
      <c r="V836" s="500" t="s">
        <v>6167</v>
      </c>
      <c r="W836" s="589" t="s">
        <v>6167</v>
      </c>
      <c r="X836" s="1005">
        <f>OBRA!AS838</f>
        <v>896515.81</v>
      </c>
      <c r="Y836" s="310"/>
      <c r="Z836" s="310"/>
      <c r="AA836" s="905"/>
      <c r="AB836" s="1956"/>
      <c r="AC836" s="318"/>
      <c r="AD836" s="353"/>
      <c r="AE836" s="353"/>
    </row>
    <row r="837" spans="1:31" ht="86.25" customHeight="1">
      <c r="A837" s="22" t="s">
        <v>2209</v>
      </c>
      <c r="B837" s="814" t="str">
        <f>'ADMININSTRACIÓN DIR - OBRA'!B839</f>
        <v>2021-2024</v>
      </c>
      <c r="C837" s="16">
        <f>OBRA!K839</f>
        <v>2024</v>
      </c>
      <c r="D837" s="1444"/>
      <c r="E837" s="17" t="str">
        <f>OBRA!N839</f>
        <v>CUENTA CORRIENTE</v>
      </c>
      <c r="F837" s="479" t="s">
        <v>1427</v>
      </c>
      <c r="G837" s="497" t="s">
        <v>6169</v>
      </c>
      <c r="H837" s="496" t="s">
        <v>6169</v>
      </c>
      <c r="I837" s="497" t="s">
        <v>6169</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6044</v>
      </c>
      <c r="P837" s="6">
        <f>OBRA!T839</f>
        <v>45355</v>
      </c>
      <c r="Q837" s="4">
        <f>OBRA!S839</f>
        <v>1911380.28</v>
      </c>
      <c r="R837" s="5">
        <f>OBRA!U839</f>
        <v>45355</v>
      </c>
      <c r="S837" s="11">
        <f>OBRA!V839</f>
        <v>45369</v>
      </c>
      <c r="T837" s="1596" t="s">
        <v>4449</v>
      </c>
      <c r="U837" s="1616" t="s">
        <v>1427</v>
      </c>
      <c r="V837" s="500" t="s">
        <v>6169</v>
      </c>
      <c r="W837" s="589" t="s">
        <v>6169</v>
      </c>
      <c r="X837" s="1005">
        <f>OBRA!AS839</f>
        <v>950156.21</v>
      </c>
      <c r="Y837" s="310"/>
      <c r="Z837" s="310"/>
      <c r="AA837" s="905"/>
      <c r="AB837" s="1956"/>
      <c r="AC837" s="318"/>
      <c r="AD837" s="353"/>
      <c r="AE837" s="353"/>
    </row>
    <row r="838" spans="1:31" ht="90.75" customHeight="1">
      <c r="A838" s="22" t="s">
        <v>2209</v>
      </c>
      <c r="B838" s="814" t="str">
        <f>'ADMININSTRACIÓN DIR - OBRA'!B840</f>
        <v>2021-2024</v>
      </c>
      <c r="C838" s="16">
        <f>OBRA!K840</f>
        <v>2024</v>
      </c>
      <c r="D838" s="1444"/>
      <c r="E838" s="17" t="str">
        <f>OBRA!N840</f>
        <v>CUENTA CORRIENTE</v>
      </c>
      <c r="F838" s="479" t="s">
        <v>1427</v>
      </c>
      <c r="G838" s="497" t="s">
        <v>6526</v>
      </c>
      <c r="H838" s="496" t="s">
        <v>6526</v>
      </c>
      <c r="I838" s="497" t="s">
        <v>6526</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6044</v>
      </c>
      <c r="P838" s="6">
        <f>OBRA!T840</f>
        <v>45356</v>
      </c>
      <c r="Q838" s="4">
        <f>OBRA!S840</f>
        <v>431465.57</v>
      </c>
      <c r="R838" s="5">
        <f>OBRA!U840</f>
        <v>45374</v>
      </c>
      <c r="S838" s="11">
        <f>OBRA!V840</f>
        <v>45379</v>
      </c>
      <c r="T838" s="1596" t="s">
        <v>4449</v>
      </c>
      <c r="U838" s="207" t="s">
        <v>1427</v>
      </c>
      <c r="V838" s="500" t="s">
        <v>6526</v>
      </c>
      <c r="W838" s="589" t="s">
        <v>6526</v>
      </c>
      <c r="X838" s="1005">
        <f>OBRA!AS840</f>
        <v>86293.1</v>
      </c>
      <c r="Y838" s="310"/>
      <c r="Z838" s="310"/>
      <c r="AA838" s="905"/>
      <c r="AB838" s="1956"/>
      <c r="AC838" s="318"/>
      <c r="AD838" s="353"/>
      <c r="AE838" s="353"/>
    </row>
    <row r="839" spans="1:31" ht="21" hidden="1" customHeight="1">
      <c r="A839" s="22" t="s">
        <v>2209</v>
      </c>
      <c r="B839" s="814">
        <f>'ADMININSTRACIÓN DIR - OBRA'!B1076</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customHeight="1">
      <c r="A840" s="22" t="s">
        <v>2209</v>
      </c>
      <c r="B840" s="814" t="str">
        <f>'ADMININSTRACIÓN DIR - OBRA'!B842</f>
        <v>2021-2024</v>
      </c>
      <c r="C840" s="16">
        <f>OBRA!K842</f>
        <v>2024</v>
      </c>
      <c r="D840" s="1444"/>
      <c r="E840" s="17" t="str">
        <f>OBRA!N842</f>
        <v>CUENTA CORRIENTE</v>
      </c>
      <c r="F840" s="479" t="s">
        <v>1427</v>
      </c>
      <c r="G840" s="497" t="s">
        <v>6170</v>
      </c>
      <c r="H840" s="496" t="s">
        <v>6170</v>
      </c>
      <c r="I840" s="497" t="s">
        <v>6170</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6044</v>
      </c>
      <c r="P840" s="6">
        <f>OBRA!T842</f>
        <v>45363</v>
      </c>
      <c r="Q840" s="4">
        <f>OBRA!S842</f>
        <v>948599.13</v>
      </c>
      <c r="R840" s="5">
        <f>OBRA!U842</f>
        <v>45384</v>
      </c>
      <c r="S840" s="11">
        <f>OBRA!V842</f>
        <v>45467</v>
      </c>
      <c r="T840" s="1596" t="s">
        <v>4449</v>
      </c>
      <c r="U840" s="1616" t="s">
        <v>1427</v>
      </c>
      <c r="V840" s="500" t="s">
        <v>6800</v>
      </c>
      <c r="W840" s="589" t="s">
        <v>6800</v>
      </c>
      <c r="X840" s="1005">
        <f>OBRA!AS842</f>
        <v>478319.49</v>
      </c>
      <c r="Y840" s="310"/>
      <c r="Z840" s="310"/>
      <c r="AA840" s="905"/>
      <c r="AB840" s="1956"/>
      <c r="AC840" s="318"/>
      <c r="AD840" s="353"/>
      <c r="AE840" s="353"/>
    </row>
    <row r="841" spans="1:31" ht="75.75" customHeight="1">
      <c r="A841" s="22" t="s">
        <v>2209</v>
      </c>
      <c r="B841" s="814" t="str">
        <f>'ADMININSTRACIÓN DIR - OBRA'!B843</f>
        <v>2021-2024</v>
      </c>
      <c r="C841" s="16">
        <f>OBRA!K843</f>
        <v>2024</v>
      </c>
      <c r="D841" s="1444"/>
      <c r="E841" s="17" t="str">
        <f>OBRA!N843</f>
        <v>RAMO 33</v>
      </c>
      <c r="F841" s="479" t="s">
        <v>1427</v>
      </c>
      <c r="G841" s="497" t="s">
        <v>6171</v>
      </c>
      <c r="H841" s="496" t="s">
        <v>6171</v>
      </c>
      <c r="I841" s="497" t="s">
        <v>6171</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6044</v>
      </c>
      <c r="P841" s="6">
        <f>OBRA!T843</f>
        <v>45364</v>
      </c>
      <c r="Q841" s="4">
        <f>OBRA!S843</f>
        <v>568143.82999999996</v>
      </c>
      <c r="R841" s="5">
        <f>OBRA!U843</f>
        <v>45376</v>
      </c>
      <c r="S841" s="11">
        <f>OBRA!V843</f>
        <v>45413</v>
      </c>
      <c r="T841" s="1381" t="s">
        <v>3819</v>
      </c>
      <c r="U841" s="1615"/>
      <c r="V841" s="497" t="s">
        <v>6171</v>
      </c>
      <c r="W841" s="497" t="s">
        <v>6171</v>
      </c>
      <c r="X841" s="1005">
        <f>OBRA!AS843</f>
        <v>284071.90999999997</v>
      </c>
      <c r="Y841" s="500" t="s">
        <v>6044</v>
      </c>
      <c r="Z841" s="5">
        <v>45408</v>
      </c>
      <c r="AA841" s="905">
        <v>709361.51</v>
      </c>
      <c r="AB841" s="5">
        <v>45417</v>
      </c>
      <c r="AC841" s="1746" t="s">
        <v>6585</v>
      </c>
      <c r="AD841" s="353"/>
      <c r="AE841" s="353"/>
    </row>
    <row r="842" spans="1:31" ht="75.75" hidden="1" customHeight="1">
      <c r="A842" s="22" t="s">
        <v>2209</v>
      </c>
      <c r="B842" s="814" t="str">
        <f>'ADMININSTRACIÓN DIR - OBRA'!B844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6044</v>
      </c>
      <c r="P842" s="6">
        <f>OBRA!T844</f>
        <v>45394</v>
      </c>
      <c r="Q842" s="4">
        <f>OBRA!S844</f>
        <v>5799082.5300000003</v>
      </c>
      <c r="R842" s="5">
        <f>OBRA!U844</f>
        <v>45397</v>
      </c>
      <c r="S842" s="11">
        <f>OBRA!V844</f>
        <v>45458</v>
      </c>
      <c r="T842" s="1381" t="s">
        <v>3819</v>
      </c>
      <c r="U842" s="1616" t="s">
        <v>1427</v>
      </c>
      <c r="V842" s="497"/>
      <c r="W842" s="438"/>
      <c r="X842" s="537">
        <f>OBRA!AS844</f>
        <v>3254149.2300000004</v>
      </c>
      <c r="Y842" s="579" t="s">
        <v>6512</v>
      </c>
      <c r="Z842" s="475">
        <v>45442</v>
      </c>
      <c r="AA842" s="912">
        <v>5799082.5300000003</v>
      </c>
      <c r="AB842" s="5" t="s">
        <v>67</v>
      </c>
      <c r="AC842" s="1951" t="s">
        <v>3555</v>
      </c>
      <c r="AD842" s="353"/>
      <c r="AE842" s="353"/>
    </row>
    <row r="843" spans="1:31" ht="75.75" hidden="1" customHeight="1">
      <c r="A843" s="22" t="s">
        <v>2209</v>
      </c>
      <c r="B843" s="814" t="str">
        <f>'ADMININSTRACIÓN DIR - OBRA'!B845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6"/>
      <c r="V843" s="497"/>
      <c r="W843" s="438"/>
      <c r="X843" s="537">
        <f>OBRA!AS845</f>
        <v>2329376.9900000002</v>
      </c>
      <c r="Y843" s="579" t="s">
        <v>6512</v>
      </c>
      <c r="Z843" s="475">
        <v>45447</v>
      </c>
      <c r="AA843" s="912">
        <v>5581497.9199999999</v>
      </c>
      <c r="AB843" s="475">
        <v>45473</v>
      </c>
      <c r="AC843" s="1951" t="s">
        <v>6585</v>
      </c>
      <c r="AD843" s="353"/>
      <c r="AE843" s="353"/>
    </row>
    <row r="844" spans="1:31" ht="75.75" customHeight="1">
      <c r="A844" s="22" t="s">
        <v>2209</v>
      </c>
      <c r="B844" s="814" t="str">
        <f>'ADMININSTRACIÓN DIR - OBRA'!B846</f>
        <v>2021-2024</v>
      </c>
      <c r="C844" s="16">
        <f>OBRA!K846</f>
        <v>2024</v>
      </c>
      <c r="D844" s="1444"/>
      <c r="E844" s="17" t="str">
        <f>OBRA!N846</f>
        <v>RAMO 33</v>
      </c>
      <c r="F844" s="479" t="s">
        <v>1427</v>
      </c>
      <c r="G844" s="497" t="s">
        <v>6532</v>
      </c>
      <c r="H844" s="496" t="s">
        <v>6532</v>
      </c>
      <c r="I844" s="497" t="s">
        <v>6532</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6512</v>
      </c>
      <c r="P844" s="6">
        <f>OBRA!T846</f>
        <v>45400</v>
      </c>
      <c r="Q844" s="4">
        <f>OBRA!S846</f>
        <v>979189.38</v>
      </c>
      <c r="R844" s="5">
        <f>OBRA!U846</f>
        <v>45418</v>
      </c>
      <c r="S844" s="11">
        <f>OBRA!V846</f>
        <v>45443</v>
      </c>
      <c r="T844" s="1381" t="s">
        <v>3819</v>
      </c>
      <c r="U844" s="1615"/>
      <c r="V844" s="497" t="s">
        <v>6532</v>
      </c>
      <c r="W844" s="589" t="s">
        <v>6532</v>
      </c>
      <c r="X844" s="1005">
        <f>OBRA!AS846</f>
        <v>489594.69</v>
      </c>
      <c r="Y844" s="310"/>
      <c r="Z844" s="310"/>
      <c r="AA844" s="905"/>
      <c r="AB844" s="1956"/>
      <c r="AC844" s="318"/>
      <c r="AD844" s="353"/>
      <c r="AE844" s="353"/>
    </row>
    <row r="845" spans="1:31" ht="93.75" customHeight="1">
      <c r="A845" s="22" t="s">
        <v>2209</v>
      </c>
      <c r="B845" s="814" t="str">
        <f>'ADMININSTRACIÓN DIR - OBRA'!B847</f>
        <v>2021-2024</v>
      </c>
      <c r="C845" s="16">
        <f>OBRA!K847</f>
        <v>2024</v>
      </c>
      <c r="D845" s="1444"/>
      <c r="E845" s="17" t="str">
        <f>OBRA!N847</f>
        <v>CUENTA CORRIENTE</v>
      </c>
      <c r="F845" s="479" t="s">
        <v>1427</v>
      </c>
      <c r="G845" s="497" t="s">
        <v>6533</v>
      </c>
      <c r="H845" s="496" t="s">
        <v>6533</v>
      </c>
      <c r="I845" s="497" t="s">
        <v>6533</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6512</v>
      </c>
      <c r="P845" s="6">
        <f>OBRA!T847</f>
        <v>45419</v>
      </c>
      <c r="Q845" s="4">
        <f>OBRA!S847</f>
        <v>802898.64</v>
      </c>
      <c r="R845" s="5">
        <f>OBRA!U847</f>
        <v>45420</v>
      </c>
      <c r="S845" s="11">
        <f>OBRA!V847</f>
        <v>45442</v>
      </c>
      <c r="T845" s="1596" t="s">
        <v>4449</v>
      </c>
      <c r="U845" s="207" t="s">
        <v>1427</v>
      </c>
      <c r="V845" s="500" t="s">
        <v>6533</v>
      </c>
      <c r="W845" s="589" t="s">
        <v>6533</v>
      </c>
      <c r="X845" s="1005">
        <f>OBRA!AS847</f>
        <v>321159.45</v>
      </c>
      <c r="Y845" s="310"/>
      <c r="Z845" s="310"/>
      <c r="AA845" s="905"/>
      <c r="AB845" s="1956"/>
      <c r="AC845" s="318"/>
      <c r="AD845" s="353"/>
      <c r="AE845" s="353"/>
    </row>
    <row r="846" spans="1:31" ht="97.5" customHeight="1">
      <c r="A846" s="22" t="s">
        <v>2209</v>
      </c>
      <c r="B846" s="814" t="str">
        <f>'ADMININSTRACIÓN DIR - OBRA'!B848</f>
        <v>2021-2024</v>
      </c>
      <c r="C846" s="16">
        <f>OBRA!K848</f>
        <v>2024</v>
      </c>
      <c r="D846" s="1444"/>
      <c r="E846" s="17" t="str">
        <f>OBRA!N848</f>
        <v>RAMO 33</v>
      </c>
      <c r="F846" s="479" t="s">
        <v>1427</v>
      </c>
      <c r="G846" s="497" t="s">
        <v>6792</v>
      </c>
      <c r="H846" s="496" t="s">
        <v>6792</v>
      </c>
      <c r="I846" s="497" t="s">
        <v>6792</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6512</v>
      </c>
      <c r="P846" s="67">
        <f>OBRA!T848</f>
        <v>45419</v>
      </c>
      <c r="Q846" s="79">
        <f>OBRA!S848</f>
        <v>944743.84</v>
      </c>
      <c r="R846" s="5">
        <f>OBRA!U848</f>
        <v>45423</v>
      </c>
      <c r="S846" s="11">
        <f>OBRA!V848</f>
        <v>45443</v>
      </c>
      <c r="T846" s="1381" t="s">
        <v>3819</v>
      </c>
      <c r="U846" s="651" t="s">
        <v>6792</v>
      </c>
      <c r="V846" s="500" t="s">
        <v>6792</v>
      </c>
      <c r="W846" s="589" t="s">
        <v>6792</v>
      </c>
      <c r="X846" s="1005">
        <f>OBRA!AS848</f>
        <v>189900.22</v>
      </c>
      <c r="Y846" s="310"/>
      <c r="Z846" s="310"/>
      <c r="AA846" s="905"/>
      <c r="AB846" s="1956"/>
      <c r="AC846" s="318"/>
      <c r="AD846" s="353"/>
      <c r="AE846" s="353"/>
    </row>
    <row r="847" spans="1:31" ht="75.75" customHeight="1">
      <c r="A847" s="22" t="s">
        <v>2209</v>
      </c>
      <c r="B847" s="814" t="str">
        <f>'ADMININSTRACIÓN DIR - OBRA'!B849</f>
        <v>2021-2024</v>
      </c>
      <c r="C847" s="16">
        <f>OBRA!K849</f>
        <v>2024</v>
      </c>
      <c r="D847" s="1444"/>
      <c r="E847" s="17" t="str">
        <f>OBRA!N849</f>
        <v>CUENTA CORRIENTE</v>
      </c>
      <c r="F847" s="479" t="s">
        <v>1427</v>
      </c>
      <c r="G847" s="497" t="s">
        <v>6534</v>
      </c>
      <c r="H847" s="496" t="s">
        <v>6534</v>
      </c>
      <c r="I847" s="497" t="s">
        <v>6534</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6512</v>
      </c>
      <c r="P847" s="67">
        <f>OBRA!T849</f>
        <v>45446</v>
      </c>
      <c r="Q847" s="79">
        <f>OBRA!S849</f>
        <v>152167.64000000001</v>
      </c>
      <c r="R847" s="5">
        <f>OBRA!U849</f>
        <v>45432</v>
      </c>
      <c r="S847" s="11">
        <f>OBRA!V849</f>
        <v>45440</v>
      </c>
      <c r="T847" s="208" t="s">
        <v>4449</v>
      </c>
      <c r="U847" s="207" t="s">
        <v>1427</v>
      </c>
      <c r="V847" s="500" t="s">
        <v>6534</v>
      </c>
      <c r="W847" s="589" t="s">
        <v>6534</v>
      </c>
      <c r="X847" s="1005">
        <f>OBRA!AS849</f>
        <v>30433.52</v>
      </c>
      <c r="Y847" s="310"/>
      <c r="Z847" s="310"/>
      <c r="AA847" s="905"/>
      <c r="AB847" s="1956"/>
      <c r="AC847" s="318"/>
      <c r="AD847" s="353"/>
      <c r="AE847" s="353"/>
    </row>
    <row r="848" spans="1:31" ht="94.5" customHeight="1">
      <c r="A848" s="22" t="s">
        <v>2209</v>
      </c>
      <c r="B848" s="814" t="str">
        <f>'ADMININSTRACIÓN DIR - OBRA'!B850</f>
        <v>2021-2024</v>
      </c>
      <c r="C848" s="16">
        <f>OBRA!K850</f>
        <v>2024</v>
      </c>
      <c r="D848" s="1444"/>
      <c r="E848" s="17" t="str">
        <f>OBRA!N850</f>
        <v>CUENTA CORRIENTE</v>
      </c>
      <c r="F848" s="479" t="s">
        <v>1427</v>
      </c>
      <c r="G848" s="497" t="s">
        <v>6535</v>
      </c>
      <c r="H848" s="496" t="s">
        <v>6535</v>
      </c>
      <c r="I848" s="497" t="s">
        <v>6535</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6512</v>
      </c>
      <c r="P848" s="67">
        <f>OBRA!T850</f>
        <v>45450</v>
      </c>
      <c r="Q848" s="79">
        <f>OBRA!S850</f>
        <v>687485.47</v>
      </c>
      <c r="R848" s="5">
        <f>OBRA!U850</f>
        <v>45453</v>
      </c>
      <c r="S848" s="11">
        <f>OBRA!V850</f>
        <v>45471</v>
      </c>
      <c r="T848" s="208" t="s">
        <v>4449</v>
      </c>
      <c r="U848" s="207" t="s">
        <v>1427</v>
      </c>
      <c r="V848" s="500" t="s">
        <v>6535</v>
      </c>
      <c r="W848" s="438"/>
      <c r="X848" s="1005">
        <f>OBRA!AS850</f>
        <v>137497.07999999999</v>
      </c>
      <c r="Y848" s="310"/>
      <c r="Z848" s="310"/>
      <c r="AA848" s="905"/>
      <c r="AB848" s="1956"/>
      <c r="AC848" s="318"/>
      <c r="AD848" s="353"/>
      <c r="AE848" s="353"/>
    </row>
    <row r="849" spans="1:31" ht="75.75" customHeight="1">
      <c r="A849" s="22" t="s">
        <v>2209</v>
      </c>
      <c r="B849" s="814" t="str">
        <f>'ADMININSTRACIÓN DIR - OBRA'!B851</f>
        <v>2021-2024</v>
      </c>
      <c r="C849" s="16">
        <f>OBRA!K851</f>
        <v>2024</v>
      </c>
      <c r="D849" s="1444"/>
      <c r="E849" s="17" t="str">
        <f>OBRA!N851</f>
        <v xml:space="preserve">FORTAMUN </v>
      </c>
      <c r="F849" s="479" t="s">
        <v>1427</v>
      </c>
      <c r="G849" s="497" t="s">
        <v>6540</v>
      </c>
      <c r="H849" s="496" t="s">
        <v>6540</v>
      </c>
      <c r="I849" s="497" t="s">
        <v>6540</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6512</v>
      </c>
      <c r="P849" s="6">
        <f>OBRA!T851</f>
        <v>45448</v>
      </c>
      <c r="Q849" s="4">
        <f>OBRA!S851</f>
        <v>1298701.05</v>
      </c>
      <c r="R849" s="5">
        <f>OBRA!U851</f>
        <v>45450</v>
      </c>
      <c r="S849" s="11">
        <f>OBRA!V851</f>
        <v>45464</v>
      </c>
      <c r="T849" s="1381" t="s">
        <v>3819</v>
      </c>
      <c r="U849" s="1927"/>
      <c r="V849" s="500" t="s">
        <v>6540</v>
      </c>
      <c r="W849" s="589" t="s">
        <v>6540</v>
      </c>
      <c r="X849" s="1005">
        <f>OBRA!AS851</f>
        <v>267682.66000000003</v>
      </c>
      <c r="Y849" s="310"/>
      <c r="Z849" s="310"/>
      <c r="AA849" s="905"/>
      <c r="AB849" s="1956"/>
      <c r="AC849" s="318"/>
      <c r="AD849" s="353"/>
      <c r="AE849" s="353"/>
    </row>
    <row r="850" spans="1:31" ht="75.75" customHeight="1">
      <c r="A850" s="22" t="s">
        <v>2209</v>
      </c>
      <c r="B850" s="814" t="str">
        <f>'ADMININSTRACIÓN DIR - OBRA'!B852</f>
        <v>2021-2024</v>
      </c>
      <c r="C850" s="16">
        <f>OBRA!K852</f>
        <v>2024</v>
      </c>
      <c r="D850" s="1444"/>
      <c r="E850" s="17" t="str">
        <f>OBRA!N852</f>
        <v xml:space="preserve">FORTAMUN </v>
      </c>
      <c r="F850" s="479" t="s">
        <v>1427</v>
      </c>
      <c r="G850" s="497" t="s">
        <v>6541</v>
      </c>
      <c r="H850" s="496" t="s">
        <v>6541</v>
      </c>
      <c r="I850" s="497" t="s">
        <v>6541</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6512</v>
      </c>
      <c r="P850" s="6">
        <f>OBRA!T852</f>
        <v>45470</v>
      </c>
      <c r="Q850" s="4">
        <f>OBRA!S852</f>
        <v>204310.14</v>
      </c>
      <c r="R850" s="5">
        <f>OBRA!U852</f>
        <v>45477</v>
      </c>
      <c r="S850" s="11">
        <f>OBRA!V852</f>
        <v>45491</v>
      </c>
      <c r="T850" s="1381" t="s">
        <v>3819</v>
      </c>
      <c r="U850" s="1615"/>
      <c r="V850" s="500" t="s">
        <v>6541</v>
      </c>
      <c r="W850" s="589" t="s">
        <v>6541</v>
      </c>
      <c r="X850" s="1005">
        <f>OBRA!AS852</f>
        <v>40862.019999999997</v>
      </c>
      <c r="Y850" s="310"/>
      <c r="Z850" s="310"/>
      <c r="AA850" s="905"/>
      <c r="AB850" s="1956"/>
      <c r="AC850" s="318"/>
      <c r="AD850" s="353"/>
      <c r="AE850" s="353"/>
    </row>
    <row r="851" spans="1:31" ht="75.75" customHeight="1">
      <c r="A851" s="22" t="s">
        <v>2209</v>
      </c>
      <c r="B851" s="814" t="str">
        <f>'ADMININSTRACIÓN DIR - OBRA'!B853</f>
        <v>2021-2024</v>
      </c>
      <c r="C851" s="16">
        <f>OBRA!K853</f>
        <v>2024</v>
      </c>
      <c r="D851" s="1444"/>
      <c r="E851" s="17" t="str">
        <f>OBRA!N853</f>
        <v xml:space="preserve">FORTAMUN </v>
      </c>
      <c r="F851" s="479" t="s">
        <v>1427</v>
      </c>
      <c r="G851" s="497" t="s">
        <v>6542</v>
      </c>
      <c r="H851" s="496" t="s">
        <v>6542</v>
      </c>
      <c r="I851" s="497" t="s">
        <v>6542</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6512</v>
      </c>
      <c r="P851" s="6">
        <f>OBRA!T853</f>
        <v>45468</v>
      </c>
      <c r="Q851" s="4">
        <f>OBRA!S853</f>
        <v>1801948.36</v>
      </c>
      <c r="R851" s="5">
        <f>OBRA!U853</f>
        <v>45470</v>
      </c>
      <c r="S851" s="11">
        <f>OBRA!V853</f>
        <v>45548</v>
      </c>
      <c r="T851" s="1381" t="s">
        <v>3819</v>
      </c>
      <c r="U851" s="1615"/>
      <c r="V851" s="500" t="s">
        <v>6542</v>
      </c>
      <c r="W851" s="589" t="s">
        <v>6542</v>
      </c>
      <c r="X851" s="1005">
        <f>OBRA!AS853</f>
        <v>914441.15999999992</v>
      </c>
      <c r="Y851" s="310"/>
      <c r="Z851" s="310"/>
      <c r="AA851" s="905"/>
      <c r="AB851" s="1956"/>
      <c r="AC851" s="318"/>
      <c r="AD851" s="353"/>
      <c r="AE851" s="353"/>
    </row>
    <row r="852" spans="1:31" ht="75.75" customHeight="1">
      <c r="A852" s="22" t="s">
        <v>2209</v>
      </c>
      <c r="B852" s="814" t="str">
        <f>'ADMININSTRACIÓN DIR - OBRA'!B854</f>
        <v>2021-2024</v>
      </c>
      <c r="C852" s="16">
        <f>OBRA!K854</f>
        <v>2024</v>
      </c>
      <c r="D852" s="1444"/>
      <c r="E852" s="17" t="str">
        <f>OBRA!N854</f>
        <v xml:space="preserve">FORTAMUN </v>
      </c>
      <c r="F852" s="479" t="s">
        <v>1427</v>
      </c>
      <c r="G852" s="497" t="s">
        <v>6543</v>
      </c>
      <c r="H852" s="496" t="s">
        <v>6543</v>
      </c>
      <c r="I852" s="497" t="s">
        <v>6543</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6513</v>
      </c>
      <c r="P852" s="6">
        <f>OBRA!T854</f>
        <v>45470</v>
      </c>
      <c r="Q852" s="4">
        <f>OBRA!S854</f>
        <v>424277.78</v>
      </c>
      <c r="R852" s="5">
        <f>OBRA!U854</f>
        <v>45471</v>
      </c>
      <c r="S852" s="11">
        <f>OBRA!V854</f>
        <v>45476</v>
      </c>
      <c r="T852" s="1381" t="s">
        <v>3819</v>
      </c>
      <c r="U852" s="1615"/>
      <c r="V852" s="500" t="s">
        <v>6543</v>
      </c>
      <c r="W852" s="589" t="s">
        <v>6543</v>
      </c>
      <c r="X852" s="1005">
        <f>OBRA!AS854</f>
        <v>84855.54</v>
      </c>
      <c r="Y852" s="310"/>
      <c r="Z852" s="310"/>
      <c r="AA852" s="905"/>
      <c r="AB852" s="1956"/>
      <c r="AC852" s="318"/>
      <c r="AD852" s="1746">
        <f>OBRA!BX854</f>
        <v>0</v>
      </c>
      <c r="AE852" s="353"/>
    </row>
    <row r="853" spans="1:31" ht="75.75" customHeight="1">
      <c r="A853" s="22" t="s">
        <v>2209</v>
      </c>
      <c r="B853" s="814" t="str">
        <f>'ADMININSTRACIÓN DIR - OBRA'!B855</f>
        <v>2021-2024</v>
      </c>
      <c r="C853" s="16">
        <f>OBRA!K855</f>
        <v>2024</v>
      </c>
      <c r="D853" s="1444"/>
      <c r="E853" s="17" t="str">
        <f>OBRA!N855</f>
        <v xml:space="preserve">FORTAMUN </v>
      </c>
      <c r="F853" s="479" t="s">
        <v>1427</v>
      </c>
      <c r="G853" s="497" t="s">
        <v>6544</v>
      </c>
      <c r="H853" s="496" t="s">
        <v>6544</v>
      </c>
      <c r="I853" s="497" t="s">
        <v>6544</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6513</v>
      </c>
      <c r="P853" s="6">
        <f>OBRA!T855</f>
        <v>45470</v>
      </c>
      <c r="Q853" s="4">
        <f>OBRA!S855</f>
        <v>238287.78</v>
      </c>
      <c r="R853" s="5">
        <f>OBRA!U855</f>
        <v>45477</v>
      </c>
      <c r="S853" s="11">
        <f>OBRA!V855</f>
        <v>45483</v>
      </c>
      <c r="T853" s="1381" t="s">
        <v>3819</v>
      </c>
      <c r="U853" s="651" t="s">
        <v>6544</v>
      </c>
      <c r="V853" s="500" t="s">
        <v>6544</v>
      </c>
      <c r="W853" s="589" t="s">
        <v>6544</v>
      </c>
      <c r="X853" s="1005">
        <f>OBRA!AS855</f>
        <v>47657.54</v>
      </c>
      <c r="Y853" s="310"/>
      <c r="Z853" s="310"/>
      <c r="AA853" s="905"/>
      <c r="AB853" s="1956"/>
      <c r="AC853" s="318"/>
      <c r="AD853" s="1746">
        <f>OBRA!BX855</f>
        <v>0</v>
      </c>
      <c r="AE853" s="353"/>
    </row>
    <row r="854" spans="1:31" ht="75.75" customHeight="1">
      <c r="A854" s="22" t="s">
        <v>2209</v>
      </c>
      <c r="B854" s="814" t="str">
        <f>'ADMININSTRACIÓN DIR - OBRA'!B856</f>
        <v>2021-2024</v>
      </c>
      <c r="C854" s="16">
        <f>OBRA!K856</f>
        <v>2024</v>
      </c>
      <c r="D854" s="1444"/>
      <c r="E854" s="17" t="str">
        <f>OBRA!N856</f>
        <v xml:space="preserve">FORTAMUN </v>
      </c>
      <c r="F854" s="479" t="s">
        <v>1427</v>
      </c>
      <c r="G854" s="497" t="s">
        <v>6793</v>
      </c>
      <c r="H854" s="496" t="s">
        <v>6793</v>
      </c>
      <c r="I854" s="497" t="s">
        <v>6793</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6513</v>
      </c>
      <c r="P854" s="6">
        <f>OBRA!T856</f>
        <v>45470</v>
      </c>
      <c r="Q854" s="4">
        <f>OBRA!S856</f>
        <v>974176.38</v>
      </c>
      <c r="R854" s="5">
        <f>OBRA!U856</f>
        <v>45484</v>
      </c>
      <c r="S854" s="11">
        <f>OBRA!V856</f>
        <v>45497</v>
      </c>
      <c r="T854" s="1381" t="s">
        <v>3819</v>
      </c>
      <c r="U854" s="1615"/>
      <c r="V854" s="497" t="s">
        <v>6793</v>
      </c>
      <c r="W854" s="589" t="s">
        <v>6793</v>
      </c>
      <c r="X854" s="1005">
        <f>OBRA!AS856</f>
        <v>224465.23</v>
      </c>
      <c r="Y854" s="500" t="s">
        <v>6513</v>
      </c>
      <c r="Z854" s="310">
        <v>45488</v>
      </c>
      <c r="AA854" s="905">
        <v>1270476.05</v>
      </c>
      <c r="AB854" s="310">
        <v>45502</v>
      </c>
      <c r="AC854" s="1746" t="s">
        <v>6585</v>
      </c>
      <c r="AD854" s="1746">
        <f>OBRA!BX856</f>
        <v>0</v>
      </c>
      <c r="AE854" s="353"/>
    </row>
    <row r="855" spans="1:31" ht="75.75" customHeight="1">
      <c r="A855" s="22" t="s">
        <v>2209</v>
      </c>
      <c r="B855" s="814" t="str">
        <f>'ADMININSTRACIÓN DIR - OBRA'!B857</f>
        <v>2021-2024</v>
      </c>
      <c r="C855" s="16">
        <f>OBRA!K857</f>
        <v>2024</v>
      </c>
      <c r="D855" s="1444"/>
      <c r="E855" s="17" t="str">
        <f>OBRA!N857</f>
        <v>CUENTA CORRIENTE</v>
      </c>
      <c r="F855" s="479" t="s">
        <v>1427</v>
      </c>
      <c r="G855" s="163"/>
      <c r="H855" s="511"/>
      <c r="I855" s="497" t="s">
        <v>6546</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6513</v>
      </c>
      <c r="P855" s="6">
        <f>OBRA!T857</f>
        <v>45485</v>
      </c>
      <c r="Q855" s="4">
        <f>OBRA!S857</f>
        <v>375226.36</v>
      </c>
      <c r="R855" s="5">
        <f>OBRA!U857</f>
        <v>45495</v>
      </c>
      <c r="S855" s="11">
        <f>OBRA!V857</f>
        <v>45513</v>
      </c>
      <c r="T855" s="1596" t="s">
        <v>4449</v>
      </c>
      <c r="U855" s="1616" t="s">
        <v>1427</v>
      </c>
      <c r="V855" s="538"/>
      <c r="W855" s="438"/>
      <c r="X855" s="1005">
        <f>OBRA!AS857</f>
        <v>150090.53</v>
      </c>
      <c r="Y855" s="310"/>
      <c r="Z855" s="310"/>
      <c r="AA855" s="905"/>
      <c r="AB855" s="1956"/>
      <c r="AC855" s="318"/>
      <c r="AD855" s="1746">
        <f>OBRA!BX857</f>
        <v>0</v>
      </c>
      <c r="AE855" s="353"/>
    </row>
    <row r="856" spans="1:31" ht="75.75" customHeight="1">
      <c r="A856" s="22" t="s">
        <v>2209</v>
      </c>
      <c r="B856" s="814" t="str">
        <f>'ADMININSTRACIÓN DIR - OBRA'!B858</f>
        <v>2021-2024</v>
      </c>
      <c r="C856" s="16">
        <f>OBRA!K858</f>
        <v>2024</v>
      </c>
      <c r="D856" s="1444"/>
      <c r="E856" s="17" t="str">
        <f>OBRA!N858</f>
        <v>CUENTA CORRIENTE</v>
      </c>
      <c r="F856" s="479" t="s">
        <v>1427</v>
      </c>
      <c r="G856" s="497" t="s">
        <v>6547</v>
      </c>
      <c r="H856" s="511"/>
      <c r="I856" s="497" t="s">
        <v>6547</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6513</v>
      </c>
      <c r="P856" s="6">
        <f>OBRA!T858</f>
        <v>45490</v>
      </c>
      <c r="Q856" s="4">
        <f>OBRA!S858</f>
        <v>932099.44</v>
      </c>
      <c r="R856" s="5">
        <f>OBRA!U858</f>
        <v>45497</v>
      </c>
      <c r="S856" s="11">
        <f>OBRA!V858</f>
        <v>45506</v>
      </c>
      <c r="T856" s="1596" t="s">
        <v>4449</v>
      </c>
      <c r="U856" s="1616" t="s">
        <v>1427</v>
      </c>
      <c r="V856" s="500" t="s">
        <v>6547</v>
      </c>
      <c r="W856" s="589" t="s">
        <v>6547</v>
      </c>
      <c r="X856" s="1005">
        <f>OBRA!AS858</f>
        <v>466249.71</v>
      </c>
      <c r="Y856" s="310"/>
      <c r="Z856" s="310"/>
      <c r="AA856" s="905"/>
      <c r="AB856" s="1956"/>
      <c r="AC856" s="318"/>
      <c r="AD856" s="1746">
        <f>OBRA!BX858</f>
        <v>0</v>
      </c>
      <c r="AE856" s="353"/>
    </row>
    <row r="857" spans="1:31" ht="75.75" customHeight="1">
      <c r="A857" s="22" t="s">
        <v>2209</v>
      </c>
      <c r="B857" s="814" t="str">
        <f>'ADMININSTRACIÓN DIR - OBRA'!B859</f>
        <v>2021-2024</v>
      </c>
      <c r="C857" s="16">
        <f>OBRA!K859</f>
        <v>2024</v>
      </c>
      <c r="D857" s="1444"/>
      <c r="E857" s="17" t="str">
        <f>OBRA!N859</f>
        <v>CUENTA CORRIENTE</v>
      </c>
      <c r="F857" s="479" t="s">
        <v>1427</v>
      </c>
      <c r="G857" s="497" t="s">
        <v>6550</v>
      </c>
      <c r="H857" s="496" t="s">
        <v>6550</v>
      </c>
      <c r="I857" s="497" t="s">
        <v>6550</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6513</v>
      </c>
      <c r="P857" s="6">
        <f>OBRA!T859</f>
        <v>45497</v>
      </c>
      <c r="Q857" s="4">
        <f>OBRA!S859</f>
        <v>759205.81</v>
      </c>
      <c r="R857" s="5">
        <f>OBRA!U859</f>
        <v>45502</v>
      </c>
      <c r="S857" s="11">
        <f>OBRA!V859</f>
        <v>45535</v>
      </c>
      <c r="T857" s="1596" t="s">
        <v>4449</v>
      </c>
      <c r="U857" s="1616" t="s">
        <v>1427</v>
      </c>
      <c r="V857" s="500" t="s">
        <v>6550</v>
      </c>
      <c r="W857" s="589" t="s">
        <v>6550</v>
      </c>
      <c r="X857" s="1005">
        <f>OBRA!AS859</f>
        <v>152249.79</v>
      </c>
      <c r="Y857" s="310"/>
      <c r="Z857" s="310"/>
      <c r="AA857" s="905"/>
      <c r="AB857" s="1956"/>
      <c r="AC857" s="318"/>
      <c r="AD857" s="1746">
        <f>OBRA!BX859</f>
        <v>0</v>
      </c>
      <c r="AE857" s="353"/>
    </row>
    <row r="858" spans="1:31" ht="75.75" customHeight="1">
      <c r="A858" s="22" t="s">
        <v>2209</v>
      </c>
      <c r="B858" s="814" t="str">
        <f>'ADMININSTRACIÓN DIR - OBRA'!B860</f>
        <v>2021-2024</v>
      </c>
      <c r="C858" s="16">
        <f>OBRA!K860</f>
        <v>2024</v>
      </c>
      <c r="D858" s="1444"/>
      <c r="E858" s="17" t="str">
        <f>OBRA!N860</f>
        <v xml:space="preserve">FORTAMUN </v>
      </c>
      <c r="F858" s="479" t="s">
        <v>1427</v>
      </c>
      <c r="G858" s="497" t="s">
        <v>6794</v>
      </c>
      <c r="H858" s="496" t="s">
        <v>6794</v>
      </c>
      <c r="I858" s="497" t="s">
        <v>6794</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6513</v>
      </c>
      <c r="P858" s="6">
        <f>OBRA!T860</f>
        <v>45507</v>
      </c>
      <c r="Q858" s="4">
        <f>OBRA!S860</f>
        <v>779373.61</v>
      </c>
      <c r="R858" s="5">
        <f>OBRA!U860</f>
        <v>45510</v>
      </c>
      <c r="S858" s="11">
        <f>OBRA!V860</f>
        <v>45527</v>
      </c>
      <c r="T858" s="1381" t="s">
        <v>3819</v>
      </c>
      <c r="U858" s="1615"/>
      <c r="V858" s="497" t="s">
        <v>6794</v>
      </c>
      <c r="W858" s="497" t="s">
        <v>6794</v>
      </c>
      <c r="X858" s="1005">
        <f>OBRA!AS860</f>
        <v>389686.8</v>
      </c>
      <c r="Y858" s="310"/>
      <c r="Z858" s="310"/>
      <c r="AA858" s="905"/>
      <c r="AB858" s="1956"/>
      <c r="AC858" s="318"/>
      <c r="AD858" s="1746">
        <f>OBRA!BX860</f>
        <v>0</v>
      </c>
      <c r="AE858" s="353"/>
    </row>
    <row r="859" spans="1:31" ht="75.75" customHeight="1">
      <c r="A859" s="22" t="s">
        <v>2209</v>
      </c>
      <c r="B859" s="814" t="str">
        <f>'ADMININSTRACIÓN DIR - OBRA'!B861</f>
        <v>2021-2024</v>
      </c>
      <c r="C859" s="16">
        <f>OBRA!K861</f>
        <v>2024</v>
      </c>
      <c r="D859" s="1444"/>
      <c r="E859" s="17" t="str">
        <f>OBRA!N861</f>
        <v xml:space="preserve">FORTAMUN </v>
      </c>
      <c r="F859" s="479" t="s">
        <v>1427</v>
      </c>
      <c r="G859" s="497" t="s">
        <v>6795</v>
      </c>
      <c r="H859" s="496" t="s">
        <v>6795</v>
      </c>
      <c r="I859" s="497" t="s">
        <v>6795</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6513</v>
      </c>
      <c r="P859" s="6">
        <f>OBRA!T861</f>
        <v>0</v>
      </c>
      <c r="Q859" s="4">
        <f>OBRA!S861</f>
        <v>1025125.64</v>
      </c>
      <c r="R859" s="5">
        <f>OBRA!U861</f>
        <v>45516</v>
      </c>
      <c r="S859" s="11">
        <f>OBRA!V861</f>
        <v>45526</v>
      </c>
      <c r="T859" s="1381" t="s">
        <v>3819</v>
      </c>
      <c r="U859" s="1615"/>
      <c r="V859" s="538"/>
      <c r="W859" s="438"/>
      <c r="X859" s="1005">
        <f>OBRA!AS861</f>
        <v>410050.25</v>
      </c>
      <c r="Y859" s="310"/>
      <c r="Z859" s="310"/>
      <c r="AA859" s="905"/>
      <c r="AB859" s="1956"/>
      <c r="AC859" s="318"/>
      <c r="AD859" s="1746">
        <f>OBRA!BX861</f>
        <v>0</v>
      </c>
      <c r="AE859" s="353"/>
    </row>
    <row r="860" spans="1:31" ht="75.75" customHeight="1">
      <c r="A860" s="22" t="s">
        <v>2209</v>
      </c>
      <c r="B860" s="814" t="str">
        <f>'ADMININSTRACIÓN DIR - OBRA'!B862</f>
        <v>2021-2024</v>
      </c>
      <c r="C860" s="16">
        <f>OBRA!K862</f>
        <v>2024</v>
      </c>
      <c r="D860" s="1444"/>
      <c r="E860" s="17" t="str">
        <f>OBRA!N862</f>
        <v>CUENTA CORRIENTE</v>
      </c>
      <c r="F860" s="479" t="s">
        <v>1427</v>
      </c>
      <c r="G860" s="497" t="s">
        <v>6796</v>
      </c>
      <c r="H860" s="496" t="s">
        <v>6796</v>
      </c>
      <c r="I860" s="497" t="s">
        <v>6796</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6513</v>
      </c>
      <c r="P860" s="6">
        <f>OBRA!T862</f>
        <v>45531</v>
      </c>
      <c r="Q860" s="4">
        <f>OBRA!S862</f>
        <v>347680.34</v>
      </c>
      <c r="R860" s="5">
        <f>OBRA!U862</f>
        <v>45535</v>
      </c>
      <c r="S860" s="11">
        <f>OBRA!V862</f>
        <v>45551</v>
      </c>
      <c r="T860" s="1596" t="s">
        <v>4449</v>
      </c>
      <c r="U860" s="1616" t="s">
        <v>1427</v>
      </c>
      <c r="V860" s="497" t="s">
        <v>6796</v>
      </c>
      <c r="W860" s="497" t="s">
        <v>6796</v>
      </c>
      <c r="X860" s="1005">
        <f>OBRA!AS862</f>
        <v>172840.08</v>
      </c>
      <c r="Y860" s="310"/>
      <c r="Z860" s="310"/>
      <c r="AA860" s="905"/>
      <c r="AB860" s="1956"/>
      <c r="AC860" s="318"/>
      <c r="AD860" s="1746">
        <f>OBRA!BX862</f>
        <v>0</v>
      </c>
      <c r="AE860" s="353"/>
    </row>
    <row r="861" spans="1:31" ht="75.75" customHeight="1">
      <c r="A861" s="22" t="s">
        <v>2209</v>
      </c>
      <c r="B861" s="814" t="str">
        <f>'ADMININSTRACIÓN DIR - OBRA'!B863</f>
        <v>2021-2024</v>
      </c>
      <c r="C861" s="16">
        <f>OBRA!K863</f>
        <v>2024</v>
      </c>
      <c r="D861" s="1444"/>
      <c r="E861" s="17" t="str">
        <f>OBRA!N863</f>
        <v>CUENTA CORRIENTE</v>
      </c>
      <c r="F861" s="479" t="s">
        <v>1427</v>
      </c>
      <c r="G861" s="497" t="s">
        <v>6797</v>
      </c>
      <c r="H861" s="496" t="s">
        <v>6797</v>
      </c>
      <c r="I861" s="497" t="s">
        <v>6797</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6513</v>
      </c>
      <c r="P861" s="6">
        <f>OBRA!T863</f>
        <v>45532</v>
      </c>
      <c r="Q861" s="4">
        <f>OBRA!S863</f>
        <v>215269.78</v>
      </c>
      <c r="R861" s="5">
        <f>OBRA!U863</f>
        <v>45534</v>
      </c>
      <c r="S861" s="11">
        <f>OBRA!V863</f>
        <v>45548</v>
      </c>
      <c r="T861" s="1596" t="s">
        <v>4449</v>
      </c>
      <c r="U861" s="1616" t="s">
        <v>1427</v>
      </c>
      <c r="V861" s="497" t="s">
        <v>6797</v>
      </c>
      <c r="W861" s="438"/>
      <c r="X861" s="1005">
        <f>OBRA!AS863</f>
        <v>49615.14</v>
      </c>
      <c r="Y861" s="310"/>
      <c r="Z861" s="310"/>
      <c r="AA861" s="905"/>
      <c r="AB861" s="1956"/>
      <c r="AC861" s="318"/>
      <c r="AD861" s="1746">
        <f>OBRA!BX863</f>
        <v>0</v>
      </c>
      <c r="AE861" s="353"/>
    </row>
    <row r="862" spans="1:31" ht="75.75" customHeight="1">
      <c r="A862" s="22" t="s">
        <v>2209</v>
      </c>
      <c r="B862" s="814" t="str">
        <f>'ADMININSTRACIÓN DIR - OBRA'!B864</f>
        <v>2021-2024</v>
      </c>
      <c r="C862" s="16">
        <f>OBRA!K864</f>
        <v>2024</v>
      </c>
      <c r="D862" s="1444"/>
      <c r="E862" s="17" t="str">
        <f>OBRA!N864</f>
        <v>CUENTA CORRIENTE</v>
      </c>
      <c r="F862" s="479" t="s">
        <v>1427</v>
      </c>
      <c r="G862" s="163"/>
      <c r="H862" s="496" t="s">
        <v>6551</v>
      </c>
      <c r="I862" s="497" t="s">
        <v>6551</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6514</v>
      </c>
      <c r="P862" s="6">
        <f>OBRA!T864</f>
        <v>45532</v>
      </c>
      <c r="Q862" s="4">
        <f>OBRA!S864</f>
        <v>672254.43</v>
      </c>
      <c r="R862" s="5">
        <f>OBRA!U864</f>
        <v>45533</v>
      </c>
      <c r="S862" s="11">
        <f>OBRA!V864</f>
        <v>45562</v>
      </c>
      <c r="T862" s="1596" t="s">
        <v>4449</v>
      </c>
      <c r="U862" s="1616" t="s">
        <v>1427</v>
      </c>
      <c r="V862" s="538"/>
      <c r="W862" s="589" t="s">
        <v>6551</v>
      </c>
      <c r="X862" s="1584">
        <f>OBRA!AS864</f>
        <v>268901.77</v>
      </c>
      <c r="Y862" s="310"/>
      <c r="Z862" s="310"/>
      <c r="AA862" s="905"/>
      <c r="AB862" s="1956"/>
      <c r="AC862" s="318"/>
      <c r="AD862" s="1746">
        <f>OBRA!BX864</f>
        <v>0</v>
      </c>
      <c r="AE862" s="353"/>
    </row>
    <row r="863" spans="1:31" ht="75.75" hidden="1" customHeight="1">
      <c r="A863" s="22" t="s">
        <v>2209</v>
      </c>
      <c r="B863" s="814" t="str">
        <f>'ADMININSTRACIÓN DIR - OBRA'!B865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6"/>
      <c r="V863" s="538"/>
      <c r="W863" s="438"/>
      <c r="X863" s="537">
        <f>OBRA!AS865</f>
        <v>0</v>
      </c>
      <c r="Y863" s="310"/>
      <c r="Z863" s="310"/>
      <c r="AA863" s="5"/>
      <c r="AB863" s="314"/>
      <c r="AC863" s="318">
        <f>OBRA!BX865</f>
        <v>0</v>
      </c>
      <c r="AD863" s="353"/>
      <c r="AE863" s="353"/>
    </row>
    <row r="864" spans="1:31" ht="75.75" customHeight="1">
      <c r="A864" s="22" t="s">
        <v>2209</v>
      </c>
      <c r="B864" s="814" t="str">
        <f>'ADMININSTRACIÓN DIR - OBRA'!B866</f>
        <v>2021-2024</v>
      </c>
      <c r="C864" s="16">
        <f>OBRA!K866</f>
        <v>2024</v>
      </c>
      <c r="D864" s="1444"/>
      <c r="E864" s="17" t="str">
        <f>OBRA!N866</f>
        <v>CUENTA CORRIENTE</v>
      </c>
      <c r="F864" s="479" t="s">
        <v>1427</v>
      </c>
      <c r="G864" s="497" t="s">
        <v>6945</v>
      </c>
      <c r="H864" s="511"/>
      <c r="I864" s="497" t="s">
        <v>6945</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6514</v>
      </c>
      <c r="P864" s="67">
        <f>OBRA!T866</f>
        <v>45532</v>
      </c>
      <c r="Q864" s="79">
        <f>OBRA!S866</f>
        <v>299463.51</v>
      </c>
      <c r="R864" s="5">
        <f>OBRA!U866</f>
        <v>45536</v>
      </c>
      <c r="S864" s="11">
        <f>OBRA!V866</f>
        <v>45540</v>
      </c>
      <c r="T864" s="208" t="s">
        <v>4449</v>
      </c>
      <c r="U864" s="207" t="s">
        <v>1427</v>
      </c>
      <c r="V864" s="500" t="s">
        <v>6945</v>
      </c>
      <c r="W864" s="589" t="s">
        <v>6945</v>
      </c>
      <c r="X864" s="1584">
        <f>OBRA!AS866</f>
        <v>59892.7</v>
      </c>
      <c r="Y864" s="310"/>
      <c r="Z864" s="310"/>
      <c r="AA864" s="905"/>
      <c r="AB864" s="1956"/>
      <c r="AC864" s="318"/>
      <c r="AD864" s="1746" t="str">
        <f>OBRA!BX866</f>
        <v>Corregir Ent-Rec</v>
      </c>
      <c r="AE864" s="353"/>
    </row>
    <row r="865" spans="1:31" ht="75.75" customHeight="1">
      <c r="A865" s="22" t="s">
        <v>2209</v>
      </c>
      <c r="B865" s="814" t="str">
        <f>'ADMININSTRACIÓN DIR - OBRA'!B867</f>
        <v>2021-2024</v>
      </c>
      <c r="C865" s="16">
        <f>OBRA!K867</f>
        <v>2024</v>
      </c>
      <c r="D865" s="1444"/>
      <c r="E865" s="17" t="str">
        <f>OBRA!N867</f>
        <v>CUENTA CORRIENTE</v>
      </c>
      <c r="F865" s="479" t="s">
        <v>1427</v>
      </c>
      <c r="G865" s="497" t="s">
        <v>6798</v>
      </c>
      <c r="H865" s="496" t="s">
        <v>6798</v>
      </c>
      <c r="I865" s="497" t="s">
        <v>6798</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6514</v>
      </c>
      <c r="P865" s="6">
        <f>OBRA!T867</f>
        <v>45531</v>
      </c>
      <c r="Q865" s="4">
        <f>OBRA!S867</f>
        <v>109760.7</v>
      </c>
      <c r="R865" s="5">
        <f>OBRA!U867</f>
        <v>45537</v>
      </c>
      <c r="S865" s="11">
        <f>OBRA!V867</f>
        <v>45555</v>
      </c>
      <c r="T865" s="1596" t="s">
        <v>4449</v>
      </c>
      <c r="U865" s="1616" t="s">
        <v>1427</v>
      </c>
      <c r="V865" s="497" t="s">
        <v>6798</v>
      </c>
      <c r="W865" s="497" t="s">
        <v>6798</v>
      </c>
      <c r="X865" s="1584">
        <f>OBRA!AS867</f>
        <v>21952.14</v>
      </c>
      <c r="Y865" s="310"/>
      <c r="Z865" s="310"/>
      <c r="AA865" s="905"/>
      <c r="AB865" s="1956"/>
      <c r="AC865" s="318"/>
      <c r="AD865" s="1746" t="str">
        <f>OBRA!BX867</f>
        <v>FALTA TODO EXPEDIENTE</v>
      </c>
      <c r="AE865" s="353"/>
    </row>
    <row r="866" spans="1:31" ht="75.75" customHeight="1">
      <c r="A866" s="22" t="s">
        <v>2209</v>
      </c>
      <c r="B866" s="814" t="str">
        <f>'ADMININSTRACIÓN DIR - OBRA'!B868</f>
        <v>2021-2024</v>
      </c>
      <c r="C866" s="16">
        <f>OBRA!K868</f>
        <v>2024</v>
      </c>
      <c r="D866" s="1444"/>
      <c r="E866" s="17" t="str">
        <f>OBRA!N868</f>
        <v>CUENTA CORRIENTE</v>
      </c>
      <c r="F866" s="479" t="s">
        <v>1427</v>
      </c>
      <c r="G866" s="497" t="s">
        <v>6799</v>
      </c>
      <c r="H866" s="496" t="s">
        <v>6799</v>
      </c>
      <c r="I866" s="497" t="s">
        <v>6799</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6514</v>
      </c>
      <c r="P866" s="6">
        <f>OBRA!T868</f>
        <v>45537</v>
      </c>
      <c r="Q866" s="4">
        <f>OBRA!S868</f>
        <v>1641205.93</v>
      </c>
      <c r="R866" s="5">
        <f>OBRA!U868</f>
        <v>45545</v>
      </c>
      <c r="S866" s="11">
        <f>OBRA!V868</f>
        <v>45550</v>
      </c>
      <c r="T866" s="1596" t="s">
        <v>4449</v>
      </c>
      <c r="U866" s="1616" t="s">
        <v>1427</v>
      </c>
      <c r="V866" s="497" t="s">
        <v>6799</v>
      </c>
      <c r="W866" s="497" t="s">
        <v>6799</v>
      </c>
      <c r="X866" s="1584">
        <f>OBRA!AS868</f>
        <v>164118.49</v>
      </c>
      <c r="Y866" s="310"/>
      <c r="Z866" s="310"/>
      <c r="AA866" s="905"/>
      <c r="AB866" s="1956"/>
      <c r="AC866" s="318"/>
      <c r="AD866" s="1746">
        <f>OBRA!BX868</f>
        <v>0</v>
      </c>
      <c r="AE866" s="353"/>
    </row>
    <row r="867" spans="1:31" ht="75.75" customHeight="1">
      <c r="A867" s="22" t="s">
        <v>2209</v>
      </c>
      <c r="B867" s="814" t="str">
        <f>'ADMININSTRACIÓN DIR - OBRA'!B869</f>
        <v>2021-2024</v>
      </c>
      <c r="C867" s="16">
        <f>OBRA!K869</f>
        <v>2024</v>
      </c>
      <c r="D867" s="1444"/>
      <c r="E867" s="17" t="str">
        <f>OBRA!N869</f>
        <v>CUENTA CORRIENTE</v>
      </c>
      <c r="F867" s="479" t="s">
        <v>1427</v>
      </c>
      <c r="G867" s="497" t="s">
        <v>6553</v>
      </c>
      <c r="H867" s="496" t="s">
        <v>6553</v>
      </c>
      <c r="I867" s="497" t="s">
        <v>6553</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6514</v>
      </c>
      <c r="P867" s="67">
        <f>OBRA!T869</f>
        <v>45540</v>
      </c>
      <c r="Q867" s="79">
        <f>OBRA!S869</f>
        <v>2600448.56</v>
      </c>
      <c r="R867" s="5">
        <f>OBRA!U869</f>
        <v>45541</v>
      </c>
      <c r="S867" s="11">
        <f>OBRA!V869</f>
        <v>45551</v>
      </c>
      <c r="T867" s="208" t="s">
        <v>4449</v>
      </c>
      <c r="U867" s="207" t="s">
        <v>1427</v>
      </c>
      <c r="V867" s="500" t="s">
        <v>6553</v>
      </c>
      <c r="W867" s="497" t="s">
        <v>6553</v>
      </c>
      <c r="X867" s="1584">
        <f>OBRA!AS869</f>
        <v>1300207.92</v>
      </c>
      <c r="Y867" s="310"/>
      <c r="Z867" s="310"/>
      <c r="AA867" s="905"/>
      <c r="AB867" s="1956"/>
      <c r="AC867" s="318"/>
      <c r="AD867" s="1746">
        <f>OBRA!BX869</f>
        <v>0</v>
      </c>
      <c r="AE867" s="353"/>
    </row>
    <row r="868" spans="1:31" ht="75.75" customHeight="1">
      <c r="A868" s="22" t="s">
        <v>2209</v>
      </c>
      <c r="B868" s="814" t="str">
        <f>'ADMININSTRACIÓN DIR - OBRA'!B870</f>
        <v>2021-2024</v>
      </c>
      <c r="C868" s="16">
        <f>OBRA!K870</f>
        <v>2024</v>
      </c>
      <c r="D868" s="1444"/>
      <c r="E868" s="17" t="str">
        <f>OBRA!N870</f>
        <v xml:space="preserve">FORTAMUN </v>
      </c>
      <c r="F868" s="479"/>
      <c r="G868" s="497" t="s">
        <v>6801</v>
      </c>
      <c r="H868" s="496" t="s">
        <v>6801</v>
      </c>
      <c r="I868" s="497" t="s">
        <v>6801</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6514</v>
      </c>
      <c r="P868" s="67">
        <f>OBRA!T870</f>
        <v>45562</v>
      </c>
      <c r="Q868" s="79">
        <f>OBRA!S870</f>
        <v>758548.36</v>
      </c>
      <c r="R868" s="5">
        <f>OBRA!U870</f>
        <v>45562</v>
      </c>
      <c r="S868" s="11">
        <f>OBRA!V870</f>
        <v>45569</v>
      </c>
      <c r="T868" s="1381" t="s">
        <v>3819</v>
      </c>
      <c r="U868" s="651" t="s">
        <v>6801</v>
      </c>
      <c r="V868" s="500" t="s">
        <v>6801</v>
      </c>
      <c r="W868" s="589" t="s">
        <v>6801</v>
      </c>
      <c r="X868" s="1584">
        <f>OBRA!AS870</f>
        <v>75854.83</v>
      </c>
      <c r="Y868" s="310"/>
      <c r="Z868" s="310"/>
      <c r="AA868" s="905"/>
      <c r="AB868" s="1956"/>
      <c r="AC868" s="318"/>
      <c r="AD868" s="1746">
        <f>OBRA!BX870</f>
        <v>0</v>
      </c>
      <c r="AE868" s="353"/>
    </row>
    <row r="869" spans="1:31" ht="75.75" hidden="1" customHeight="1">
      <c r="A869" s="22" t="s">
        <v>2209</v>
      </c>
      <c r="B869" s="814" t="str">
        <f>'ADMININSTRACIÓN DIR - OBRA'!B871</f>
        <v>2021-2024</v>
      </c>
      <c r="C869" s="16">
        <f>OBRA!K871</f>
        <v>2025</v>
      </c>
      <c r="D869" s="1444"/>
      <c r="E869" s="17">
        <f>OBRA!N871</f>
        <v>0</v>
      </c>
      <c r="F869" s="479"/>
      <c r="G869" s="163"/>
      <c r="H869" s="511"/>
      <c r="I869" s="163"/>
      <c r="J869" s="54" t="str">
        <f>OBRA!X871</f>
        <v>-</v>
      </c>
      <c r="K869" s="55" t="str">
        <f>OBRA!Y871</f>
        <v>-</v>
      </c>
      <c r="L869" s="19">
        <f>OBRA!O871</f>
        <v>0</v>
      </c>
      <c r="M869" s="2" t="str">
        <f>OBRA!P871</f>
        <v>CONVENIO</v>
      </c>
      <c r="N869" s="3">
        <f>OBRA!Q871</f>
        <v>0</v>
      </c>
      <c r="O869" s="505"/>
      <c r="P869" s="6">
        <f>OBRA!T871</f>
        <v>0</v>
      </c>
      <c r="Q869" s="4">
        <f>OBRA!S871</f>
        <v>0</v>
      </c>
      <c r="R869" s="5">
        <f>OBRA!U871</f>
        <v>0</v>
      </c>
      <c r="S869" s="11">
        <f>OBRA!V871</f>
        <v>0</v>
      </c>
      <c r="T869" s="1381"/>
      <c r="U869" s="1616"/>
      <c r="V869" s="538"/>
      <c r="W869" s="438"/>
      <c r="X869" s="537">
        <f>OBRA!AS871</f>
        <v>0</v>
      </c>
      <c r="Y869" s="310"/>
      <c r="Z869" s="310"/>
      <c r="AA869" s="5"/>
      <c r="AB869" s="314"/>
      <c r="AC869" s="318">
        <f>OBRA!BX871</f>
        <v>0</v>
      </c>
      <c r="AD869" s="353"/>
      <c r="AE869" s="353"/>
    </row>
    <row r="870" spans="1:31" ht="75.75" hidden="1" customHeight="1">
      <c r="A870" s="22" t="s">
        <v>2209</v>
      </c>
      <c r="B870" s="814" t="str">
        <f>'ADMININSTRACIÓN DIR - OBRA'!B872</f>
        <v>2021-2024</v>
      </c>
      <c r="C870" s="16">
        <f>OBRA!K872</f>
        <v>2025</v>
      </c>
      <c r="D870" s="1444"/>
      <c r="E870" s="17">
        <f>OBRA!N872</f>
        <v>0</v>
      </c>
      <c r="F870" s="479"/>
      <c r="G870" s="163"/>
      <c r="H870" s="511"/>
      <c r="I870" s="163"/>
      <c r="J870" s="54" t="str">
        <f>OBRA!X872</f>
        <v>-</v>
      </c>
      <c r="K870" s="55" t="str">
        <f>OBRA!Y872</f>
        <v>-</v>
      </c>
      <c r="L870" s="19">
        <f>OBRA!O872</f>
        <v>0</v>
      </c>
      <c r="M870" s="2" t="str">
        <f>OBRA!P872</f>
        <v>CONVENIO</v>
      </c>
      <c r="N870" s="3">
        <f>OBRA!Q872</f>
        <v>0</v>
      </c>
      <c r="O870" s="505"/>
      <c r="P870" s="6">
        <f>OBRA!T872</f>
        <v>0</v>
      </c>
      <c r="Q870" s="4">
        <f>OBRA!S872</f>
        <v>0</v>
      </c>
      <c r="R870" s="5">
        <f>OBRA!U872</f>
        <v>0</v>
      </c>
      <c r="S870" s="11">
        <f>OBRA!V872</f>
        <v>0</v>
      </c>
      <c r="T870" s="1381"/>
      <c r="U870" s="1616"/>
      <c r="V870" s="538"/>
      <c r="W870" s="438"/>
      <c r="X870" s="537">
        <f>OBRA!AS872</f>
        <v>0</v>
      </c>
      <c r="Y870" s="310"/>
      <c r="Z870" s="310"/>
      <c r="AA870" s="5"/>
      <c r="AB870" s="314"/>
      <c r="AC870" s="318">
        <f>OBRA!BX872</f>
        <v>0</v>
      </c>
      <c r="AD870" s="353"/>
      <c r="AE870" s="353"/>
    </row>
    <row r="871" spans="1:31" ht="75.75" hidden="1" customHeight="1">
      <c r="A871" s="22" t="s">
        <v>2209</v>
      </c>
      <c r="B871" s="814" t="str">
        <f>'ADMININSTRACIÓN DIR - OBRA'!B873</f>
        <v>2024-2027</v>
      </c>
      <c r="C871" s="16">
        <f>OBRA!K873</f>
        <v>2025</v>
      </c>
      <c r="D871" s="1444"/>
      <c r="E871" s="17">
        <f>OBRA!N873</f>
        <v>0</v>
      </c>
      <c r="F871" s="479"/>
      <c r="G871" s="163"/>
      <c r="H871" s="511"/>
      <c r="I871" s="163"/>
      <c r="J871" s="54" t="str">
        <f>OBRA!X873</f>
        <v>-</v>
      </c>
      <c r="K871" s="55">
        <f>OBRA!Y873</f>
        <v>0</v>
      </c>
      <c r="L871" s="19" t="str">
        <f>OBRA!O873</f>
        <v>DOP/AD/001/2025</v>
      </c>
      <c r="M871" s="2" t="str">
        <f>OBRA!P873</f>
        <v>ADMINISTRACIÓN DIRECTA</v>
      </c>
      <c r="N871" s="3">
        <f>OBRA!Q873</f>
        <v>0</v>
      </c>
      <c r="O871" s="505"/>
      <c r="P871" s="6">
        <f>OBRA!T873</f>
        <v>0</v>
      </c>
      <c r="Q871" s="4">
        <f>OBRA!S873</f>
        <v>0</v>
      </c>
      <c r="R871" s="5">
        <f>OBRA!U873</f>
        <v>0</v>
      </c>
      <c r="S871" s="11">
        <f>OBRA!V873</f>
        <v>0</v>
      </c>
      <c r="T871" s="1381"/>
      <c r="U871" s="1616"/>
      <c r="V871" s="538"/>
      <c r="W871" s="438"/>
      <c r="X871" s="537" t="str">
        <f>OBRA!AS873</f>
        <v>-</v>
      </c>
      <c r="Y871" s="310"/>
      <c r="Z871" s="310"/>
      <c r="AA871" s="5"/>
      <c r="AB871" s="314"/>
      <c r="AC871" s="318">
        <f>OBRA!BX873</f>
        <v>0</v>
      </c>
      <c r="AD871" s="353"/>
      <c r="AE871" s="353"/>
    </row>
    <row r="872" spans="1:31" ht="75.75" hidden="1" customHeight="1">
      <c r="A872" s="22" t="s">
        <v>2209</v>
      </c>
      <c r="B872" s="814" t="str">
        <f>'ADMININSTRACIÓN DIR - OBRA'!B874</f>
        <v>2024-2027</v>
      </c>
      <c r="C872" s="16">
        <f>OBRA!K874</f>
        <v>2025</v>
      </c>
      <c r="D872" s="1444"/>
      <c r="E872" s="17">
        <f>OBRA!N874</f>
        <v>0</v>
      </c>
      <c r="F872" s="479"/>
      <c r="G872" s="163"/>
      <c r="H872" s="511"/>
      <c r="I872" s="163"/>
      <c r="J872" s="54" t="str">
        <f>OBRA!X874</f>
        <v>-</v>
      </c>
      <c r="K872" s="55">
        <f>OBRA!Y874</f>
        <v>0</v>
      </c>
      <c r="L872" s="19" t="str">
        <f>OBRA!O874</f>
        <v>DOP/AD/002/2025</v>
      </c>
      <c r="M872" s="2" t="str">
        <f>OBRA!P874</f>
        <v>ADMINISTRACIÓN DIRECTA</v>
      </c>
      <c r="N872" s="3">
        <f>OBRA!Q874</f>
        <v>0</v>
      </c>
      <c r="O872" s="505"/>
      <c r="P872" s="6">
        <f>OBRA!T874</f>
        <v>0</v>
      </c>
      <c r="Q872" s="4">
        <f>OBRA!S874</f>
        <v>0</v>
      </c>
      <c r="R872" s="5">
        <f>OBRA!U874</f>
        <v>0</v>
      </c>
      <c r="S872" s="11">
        <f>OBRA!V874</f>
        <v>0</v>
      </c>
      <c r="T872" s="1381"/>
      <c r="U872" s="1616"/>
      <c r="V872" s="538"/>
      <c r="W872" s="438"/>
      <c r="X872" s="537" t="str">
        <f>OBRA!AS874</f>
        <v>-</v>
      </c>
      <c r="Y872" s="310"/>
      <c r="Z872" s="310"/>
      <c r="AA872" s="5"/>
      <c r="AB872" s="314"/>
      <c r="AC872" s="318">
        <f>OBRA!BX874</f>
        <v>0</v>
      </c>
      <c r="AD872" s="353"/>
      <c r="AE872" s="353"/>
    </row>
    <row r="873" spans="1:31" ht="75.75" hidden="1" customHeight="1">
      <c r="A873" s="22" t="s">
        <v>2209</v>
      </c>
      <c r="B873" s="814" t="str">
        <f>'ADMININSTRACIÓN DIR - OBRA'!B875</f>
        <v>2024-2027</v>
      </c>
      <c r="C873" s="16">
        <f>OBRA!K875</f>
        <v>2025</v>
      </c>
      <c r="D873" s="1444"/>
      <c r="E873" s="17">
        <f>OBRA!N875</f>
        <v>0</v>
      </c>
      <c r="F873" s="479"/>
      <c r="G873" s="163"/>
      <c r="H873" s="511"/>
      <c r="I873" s="163"/>
      <c r="J873" s="54" t="str">
        <f>OBRA!X875</f>
        <v>-</v>
      </c>
      <c r="K873" s="55">
        <f>OBRA!Y875</f>
        <v>0</v>
      </c>
      <c r="L873" s="19" t="str">
        <f>OBRA!O875</f>
        <v>DOP/AD/003/2025</v>
      </c>
      <c r="M873" s="2" t="str">
        <f>OBRA!P875</f>
        <v>ADMINISTRACIÓN DIRECTA</v>
      </c>
      <c r="N873" s="3">
        <f>OBRA!Q875</f>
        <v>0</v>
      </c>
      <c r="O873" s="505"/>
      <c r="P873" s="6">
        <f>OBRA!T875</f>
        <v>0</v>
      </c>
      <c r="Q873" s="4">
        <f>OBRA!S875</f>
        <v>0</v>
      </c>
      <c r="R873" s="5">
        <f>OBRA!U875</f>
        <v>0</v>
      </c>
      <c r="S873" s="11">
        <f>OBRA!V875</f>
        <v>0</v>
      </c>
      <c r="T873" s="1381"/>
      <c r="U873" s="1616"/>
      <c r="V873" s="538"/>
      <c r="W873" s="438"/>
      <c r="X873" s="537" t="str">
        <f>OBRA!AS875</f>
        <v>-</v>
      </c>
      <c r="Y873" s="310"/>
      <c r="Z873" s="310"/>
      <c r="AA873" s="5"/>
      <c r="AB873" s="314"/>
      <c r="AC873" s="318">
        <f>OBRA!BX875</f>
        <v>0</v>
      </c>
      <c r="AD873" s="353"/>
      <c r="AE873" s="353"/>
    </row>
    <row r="874" spans="1:31" ht="75.75" hidden="1" customHeight="1">
      <c r="A874" s="22" t="s">
        <v>2209</v>
      </c>
      <c r="B874" s="814" t="str">
        <f>'ADMININSTRACIÓN DIR - OBRA'!B876</f>
        <v>2024-2027</v>
      </c>
      <c r="C874" s="16">
        <f>OBRA!K876</f>
        <v>2025</v>
      </c>
      <c r="D874" s="1444"/>
      <c r="E874" s="17">
        <f>OBRA!N876</f>
        <v>0</v>
      </c>
      <c r="F874" s="479"/>
      <c r="G874" s="163"/>
      <c r="H874" s="511"/>
      <c r="I874" s="163"/>
      <c r="J874" s="54" t="str">
        <f>OBRA!X876</f>
        <v>-</v>
      </c>
      <c r="K874" s="55">
        <f>OBRA!Y876</f>
        <v>0</v>
      </c>
      <c r="L874" s="19" t="str">
        <f>OBRA!O876</f>
        <v>DOP/AD/004/2025</v>
      </c>
      <c r="M874" s="2" t="str">
        <f>OBRA!P876</f>
        <v>ADMINISTRACIÓN DIRECTA</v>
      </c>
      <c r="N874" s="3">
        <f>OBRA!Q876</f>
        <v>0</v>
      </c>
      <c r="O874" s="505"/>
      <c r="P874" s="6">
        <f>OBRA!T876</f>
        <v>0</v>
      </c>
      <c r="Q874" s="4">
        <f>OBRA!S876</f>
        <v>0</v>
      </c>
      <c r="R874" s="5">
        <f>OBRA!U876</f>
        <v>0</v>
      </c>
      <c r="S874" s="11">
        <f>OBRA!V876</f>
        <v>0</v>
      </c>
      <c r="T874" s="1381"/>
      <c r="U874" s="1616"/>
      <c r="V874" s="538"/>
      <c r="W874" s="438"/>
      <c r="X874" s="537" t="str">
        <f>OBRA!AS876</f>
        <v>-</v>
      </c>
      <c r="Y874" s="310"/>
      <c r="Z874" s="310"/>
      <c r="AA874" s="5"/>
      <c r="AB874" s="314"/>
      <c r="AC874" s="318">
        <f>OBRA!BX876</f>
        <v>0</v>
      </c>
      <c r="AD874" s="353"/>
      <c r="AE874" s="353"/>
    </row>
    <row r="875" spans="1:31" ht="75.75" hidden="1" customHeight="1">
      <c r="A875" s="22" t="s">
        <v>2209</v>
      </c>
      <c r="B875" s="814" t="str">
        <f>'ADMININSTRACIÓN DIR - OBRA'!B877</f>
        <v>2024-2027</v>
      </c>
      <c r="C875" s="16">
        <f>OBRA!K877</f>
        <v>2025</v>
      </c>
      <c r="D875" s="1444"/>
      <c r="E875" s="17">
        <f>OBRA!N877</f>
        <v>0</v>
      </c>
      <c r="F875" s="479"/>
      <c r="G875" s="163"/>
      <c r="H875" s="511"/>
      <c r="I875" s="163"/>
      <c r="J875" s="54" t="str">
        <f>OBRA!X877</f>
        <v>-</v>
      </c>
      <c r="K875" s="55">
        <f>OBRA!Y877</f>
        <v>0</v>
      </c>
      <c r="L875" s="19" t="str">
        <f>OBRA!O877</f>
        <v>DOP/AD/005/2025</v>
      </c>
      <c r="M875" s="2" t="str">
        <f>OBRA!P877</f>
        <v>ADMINISTRACIÓN DIRECTA</v>
      </c>
      <c r="N875" s="3">
        <f>OBRA!Q877</f>
        <v>0</v>
      </c>
      <c r="O875" s="505"/>
      <c r="P875" s="6">
        <f>OBRA!T877</f>
        <v>0</v>
      </c>
      <c r="Q875" s="4">
        <f>OBRA!S877</f>
        <v>0</v>
      </c>
      <c r="R875" s="5">
        <f>OBRA!U877</f>
        <v>0</v>
      </c>
      <c r="S875" s="11">
        <f>OBRA!V877</f>
        <v>0</v>
      </c>
      <c r="T875" s="1381"/>
      <c r="U875" s="1616"/>
      <c r="V875" s="538"/>
      <c r="W875" s="438"/>
      <c r="X875" s="537" t="str">
        <f>OBRA!AS877</f>
        <v>-</v>
      </c>
      <c r="Y875" s="310"/>
      <c r="Z875" s="310"/>
      <c r="AA875" s="5"/>
      <c r="AB875" s="314"/>
      <c r="AC875" s="318">
        <f>OBRA!BX877</f>
        <v>0</v>
      </c>
      <c r="AD875" s="353"/>
      <c r="AE875" s="353"/>
    </row>
    <row r="876" spans="1:31" ht="75.75" customHeight="1">
      <c r="A876" s="22" t="s">
        <v>2209</v>
      </c>
      <c r="B876" s="814" t="str">
        <f>'ADMININSTRACIÓN DIR - OBRA'!B878</f>
        <v>2024-2027</v>
      </c>
      <c r="C876" s="16">
        <f>OBRA!K878</f>
        <v>2025</v>
      </c>
      <c r="D876" s="1444"/>
      <c r="E876" s="17" t="str">
        <f>OBRA!N878</f>
        <v>CUENTA CORRIENTE</v>
      </c>
      <c r="F876" s="479"/>
      <c r="G876" s="163"/>
      <c r="H876" s="511"/>
      <c r="I876" s="163"/>
      <c r="J876" s="54" t="str">
        <f>OBRA!X878</f>
        <v>MATERIALES Y OBRAS KORAK, S.A. DE C.V.</v>
      </c>
      <c r="K876" s="55">
        <f>OBRA!Y878</f>
        <v>0</v>
      </c>
      <c r="L876" s="19" t="str">
        <f>OBRA!O878</f>
        <v>GMJ 001C OP/2025</v>
      </c>
      <c r="M876" s="2" t="str">
        <f>OBRA!P878</f>
        <v>ADJUDICACIÓN DIRECTA</v>
      </c>
      <c r="N876" s="3" t="str">
        <f>OBRA!Q878</f>
        <v>"REHABILITACIÓN DE REDES HIDROSANITARIAS Y SUPERFICIE DE RODAMIENTO, EN PRIV. ANIMA SOLA", EN LA CABECERA MUNICIPAL DE JOCOTEPEC, JALISCO.</v>
      </c>
      <c r="O876" s="505"/>
      <c r="P876" s="6">
        <f>OBRA!T878</f>
        <v>45762</v>
      </c>
      <c r="Q876" s="4">
        <f>OBRA!S878</f>
        <v>601216.35</v>
      </c>
      <c r="R876" s="5">
        <f>OBRA!U878</f>
        <v>45807</v>
      </c>
      <c r="S876" s="11">
        <f>OBRA!V878</f>
        <v>45749</v>
      </c>
      <c r="T876" s="1381"/>
      <c r="U876" s="1616"/>
      <c r="V876" s="538"/>
      <c r="W876" s="438"/>
      <c r="X876" s="537">
        <f>OBRA!AS878</f>
        <v>0</v>
      </c>
      <c r="Y876" s="310"/>
      <c r="Z876" s="310"/>
      <c r="AA876" s="5"/>
      <c r="AB876" s="314"/>
      <c r="AC876" s="318">
        <f>OBRA!BX878</f>
        <v>0</v>
      </c>
      <c r="AD876" s="353"/>
      <c r="AE876" s="353"/>
    </row>
    <row r="877" spans="1:31" ht="75.75" hidden="1" customHeight="1">
      <c r="A877" s="22" t="s">
        <v>2209</v>
      </c>
      <c r="B877" s="814" t="str">
        <f>'ADMININSTRACIÓN DIR - OBRA'!B879</f>
        <v>2024-2027</v>
      </c>
      <c r="C877" s="16">
        <f>OBRA!K879</f>
        <v>2025</v>
      </c>
      <c r="D877" s="1444"/>
      <c r="E877" s="17">
        <f>OBRA!N879</f>
        <v>0</v>
      </c>
      <c r="F877" s="479"/>
      <c r="G877" s="163"/>
      <c r="H877" s="511"/>
      <c r="I877" s="163"/>
      <c r="J877" s="54">
        <f>OBRA!X879</f>
        <v>0</v>
      </c>
      <c r="K877" s="55">
        <f>OBRA!Y879</f>
        <v>0</v>
      </c>
      <c r="L877" s="19" t="str">
        <f>OBRA!O879</f>
        <v>GMJ 002C OP/2025</v>
      </c>
      <c r="M877" s="2" t="str">
        <f>OBRA!P879</f>
        <v>CONTRATO</v>
      </c>
      <c r="N877" s="3">
        <f>OBRA!Q879</f>
        <v>0</v>
      </c>
      <c r="O877" s="505"/>
      <c r="P877" s="6">
        <f>OBRA!T879</f>
        <v>0</v>
      </c>
      <c r="Q877" s="4">
        <f>OBRA!S879</f>
        <v>0</v>
      </c>
      <c r="R877" s="5">
        <f>OBRA!U879</f>
        <v>0</v>
      </c>
      <c r="S877" s="11">
        <f>OBRA!V879</f>
        <v>0</v>
      </c>
      <c r="T877" s="1381"/>
      <c r="U877" s="1616"/>
      <c r="V877" s="538"/>
      <c r="W877" s="438"/>
      <c r="X877" s="537">
        <f>OBRA!AS879</f>
        <v>0</v>
      </c>
      <c r="Y877" s="310"/>
      <c r="Z877" s="310"/>
      <c r="AA877" s="5"/>
      <c r="AB877" s="314"/>
      <c r="AC877" s="318">
        <f>OBRA!BX879</f>
        <v>0</v>
      </c>
      <c r="AD877" s="353"/>
      <c r="AE877" s="353"/>
    </row>
    <row r="878" spans="1:31" ht="75.75" customHeight="1">
      <c r="A878" s="22" t="s">
        <v>2209</v>
      </c>
      <c r="B878" s="814" t="str">
        <f>'ADMININSTRACIÓN DIR - OBRA'!B880</f>
        <v>2024-2027</v>
      </c>
      <c r="C878" s="16">
        <f>OBRA!K880</f>
        <v>2025</v>
      </c>
      <c r="D878" s="1444"/>
      <c r="E878" s="17" t="str">
        <f>OBRA!N880</f>
        <v>RAMO 33</v>
      </c>
      <c r="F878" s="479"/>
      <c r="G878" s="163"/>
      <c r="H878" s="511"/>
      <c r="I878" s="163"/>
      <c r="J878" s="54" t="str">
        <f>OBRA!X880</f>
        <v>MATERIALES Y OBRAS KORAK, S.A. DE C.V.</v>
      </c>
      <c r="K878" s="55" t="str">
        <f>OBRA!Y880</f>
        <v>ING. ROMÁN RODRÍGUEZ SOLANO</v>
      </c>
      <c r="L878" s="19" t="str">
        <f>OBRA!O880</f>
        <v>GMJ 003C- OP/2025</v>
      </c>
      <c r="M878" s="2" t="str">
        <f>OBRA!P880</f>
        <v>ADJUDICACIÓN DIRECTA</v>
      </c>
      <c r="N878" s="3" t="str">
        <f>OBRA!Q880</f>
        <v>"CONSTRUCCIÓN DE SUPERFICIE DE RODAMIENTO EN CALLE BERNARDO QUINTANA DE AV. DEL TRABAJO A C. CERRADA EN LA LOCALIDAD DE ZAPOTITÁN DE HIDALGO, MUNICIPIO DE JOCOTEPEC, JALISCO.</v>
      </c>
      <c r="O878" s="505"/>
      <c r="P878" s="6">
        <f>OBRA!T880</f>
        <v>45761</v>
      </c>
      <c r="Q878" s="4">
        <f>OBRA!S880</f>
        <v>1338681.9099999999</v>
      </c>
      <c r="R878" s="5">
        <f>OBRA!U880</f>
        <v>45768</v>
      </c>
      <c r="S878" s="11">
        <f>OBRA!V880</f>
        <v>45809</v>
      </c>
      <c r="T878" s="1381"/>
      <c r="U878" s="1616"/>
      <c r="V878" s="538"/>
      <c r="W878" s="438"/>
      <c r="X878" s="537">
        <f>OBRA!AS880</f>
        <v>0</v>
      </c>
      <c r="Y878" s="310"/>
      <c r="Z878" s="310"/>
      <c r="AA878" s="5"/>
      <c r="AB878" s="314"/>
      <c r="AC878" s="318">
        <f>OBRA!BX880</f>
        <v>0</v>
      </c>
      <c r="AD878" s="353"/>
      <c r="AE878" s="353"/>
    </row>
    <row r="879" spans="1:31" ht="75.75" hidden="1" customHeight="1">
      <c r="A879" s="22" t="s">
        <v>2209</v>
      </c>
      <c r="B879" s="814" t="str">
        <f>'ADMININSTRACIÓN DIR - OBRA'!B881</f>
        <v>2024-2027</v>
      </c>
      <c r="C879" s="16">
        <f>OBRA!K881</f>
        <v>2025</v>
      </c>
      <c r="D879" s="1444"/>
      <c r="E879" s="17">
        <f>OBRA!N881</f>
        <v>0</v>
      </c>
      <c r="F879" s="479"/>
      <c r="G879" s="163"/>
      <c r="H879" s="511"/>
      <c r="I879" s="163"/>
      <c r="J879" s="54">
        <f>OBRA!X881</f>
        <v>0</v>
      </c>
      <c r="K879" s="55">
        <f>OBRA!Y881</f>
        <v>0</v>
      </c>
      <c r="L879" s="19" t="str">
        <f>OBRA!O881</f>
        <v>GMJ 004C OP/2025</v>
      </c>
      <c r="M879" s="2" t="str">
        <f>OBRA!P881</f>
        <v>CONTRATO</v>
      </c>
      <c r="N879" s="3">
        <f>OBRA!Q881</f>
        <v>0</v>
      </c>
      <c r="O879" s="505"/>
      <c r="P879" s="6">
        <f>OBRA!T881</f>
        <v>0</v>
      </c>
      <c r="Q879" s="4">
        <f>OBRA!S881</f>
        <v>0</v>
      </c>
      <c r="R879" s="5">
        <f>OBRA!U881</f>
        <v>0</v>
      </c>
      <c r="S879" s="11">
        <f>OBRA!V881</f>
        <v>0</v>
      </c>
      <c r="T879" s="1381"/>
      <c r="U879" s="1616"/>
      <c r="V879" s="538"/>
      <c r="W879" s="438"/>
      <c r="X879" s="537">
        <f>OBRA!AS881</f>
        <v>0</v>
      </c>
      <c r="Y879" s="310"/>
      <c r="Z879" s="310"/>
      <c r="AA879" s="5"/>
      <c r="AB879" s="314"/>
      <c r="AC879" s="318">
        <f>OBRA!BX881</f>
        <v>0</v>
      </c>
      <c r="AD879" s="353"/>
      <c r="AE879" s="353"/>
    </row>
    <row r="880" spans="1:31" ht="75.75" hidden="1" customHeight="1">
      <c r="A880" s="22" t="s">
        <v>2209</v>
      </c>
      <c r="B880" s="814" t="str">
        <f>'ADMININSTRACIÓN DIR - OBRA'!B882</f>
        <v>2024-2027</v>
      </c>
      <c r="C880" s="16">
        <f>OBRA!K882</f>
        <v>2025</v>
      </c>
      <c r="D880" s="1444"/>
      <c r="E880" s="17">
        <f>OBRA!N882</f>
        <v>0</v>
      </c>
      <c r="F880" s="479"/>
      <c r="G880" s="163"/>
      <c r="H880" s="511"/>
      <c r="I880" s="163"/>
      <c r="J880" s="54">
        <f>OBRA!X882</f>
        <v>0</v>
      </c>
      <c r="K880" s="55">
        <f>OBRA!Y882</f>
        <v>0</v>
      </c>
      <c r="L880" s="19" t="str">
        <f>OBRA!O882</f>
        <v>GMJ 005C OP/2025</v>
      </c>
      <c r="M880" s="2" t="str">
        <f>OBRA!P882</f>
        <v>CONTRATO</v>
      </c>
      <c r="N880" s="3">
        <f>OBRA!Q882</f>
        <v>0</v>
      </c>
      <c r="O880" s="505"/>
      <c r="P880" s="6">
        <f>OBRA!T882</f>
        <v>0</v>
      </c>
      <c r="Q880" s="4">
        <f>OBRA!S882</f>
        <v>0</v>
      </c>
      <c r="R880" s="5">
        <f>OBRA!U882</f>
        <v>0</v>
      </c>
      <c r="S880" s="11">
        <f>OBRA!V882</f>
        <v>0</v>
      </c>
      <c r="T880" s="1381"/>
      <c r="U880" s="1616"/>
      <c r="V880" s="538"/>
      <c r="W880" s="438"/>
      <c r="X880" s="537">
        <f>OBRA!AS882</f>
        <v>0</v>
      </c>
      <c r="Y880" s="310"/>
      <c r="Z880" s="310"/>
      <c r="AA880" s="5"/>
      <c r="AB880" s="314"/>
      <c r="AC880" s="318">
        <f>OBRA!BX882</f>
        <v>0</v>
      </c>
      <c r="AD880" s="353"/>
      <c r="AE880" s="353"/>
    </row>
    <row r="881" spans="1:31" ht="75.75" hidden="1" customHeight="1">
      <c r="A881" s="22" t="s">
        <v>2209</v>
      </c>
      <c r="B881" s="814" t="str">
        <f>'ADMININSTRACIÓN DIR - OBRA'!B883</f>
        <v>2024-2027</v>
      </c>
      <c r="C881" s="16">
        <f>OBRA!K883</f>
        <v>2025</v>
      </c>
      <c r="D881" s="1444"/>
      <c r="E881" s="17">
        <f>OBRA!N883</f>
        <v>0</v>
      </c>
      <c r="F881" s="479"/>
      <c r="G881" s="163"/>
      <c r="H881" s="511"/>
      <c r="I881" s="163"/>
      <c r="J881" s="54">
        <f>OBRA!X883</f>
        <v>0</v>
      </c>
      <c r="K881" s="55">
        <f>OBRA!Y883</f>
        <v>0</v>
      </c>
      <c r="L881" s="19" t="str">
        <f>OBRA!O883</f>
        <v>GMJ 006C OP/2025</v>
      </c>
      <c r="M881" s="2" t="str">
        <f>OBRA!P883</f>
        <v>CONTRATO</v>
      </c>
      <c r="N881" s="3">
        <f>OBRA!Q883</f>
        <v>0</v>
      </c>
      <c r="O881" s="505"/>
      <c r="P881" s="6">
        <f>OBRA!T883</f>
        <v>0</v>
      </c>
      <c r="Q881" s="4">
        <f>OBRA!S883</f>
        <v>0</v>
      </c>
      <c r="R881" s="5">
        <f>OBRA!U883</f>
        <v>0</v>
      </c>
      <c r="S881" s="11">
        <f>OBRA!V883</f>
        <v>0</v>
      </c>
      <c r="T881" s="1381"/>
      <c r="U881" s="1616"/>
      <c r="V881" s="538"/>
      <c r="W881" s="438"/>
      <c r="X881" s="537">
        <f>OBRA!AS883</f>
        <v>0</v>
      </c>
      <c r="Y881" s="310"/>
      <c r="Z881" s="310"/>
      <c r="AA881" s="5"/>
      <c r="AB881" s="314"/>
      <c r="AC881" s="318">
        <f>OBRA!BX883</f>
        <v>0</v>
      </c>
      <c r="AD881" s="353"/>
      <c r="AE881" s="353"/>
    </row>
    <row r="882" spans="1:31" ht="75.75" hidden="1" customHeight="1">
      <c r="A882" s="22" t="s">
        <v>2209</v>
      </c>
      <c r="B882" s="814" t="str">
        <f>'ADMININSTRACIÓN DIR - OBRA'!B884</f>
        <v>2024-2027</v>
      </c>
      <c r="C882" s="16">
        <f>OBRA!K884</f>
        <v>2025</v>
      </c>
      <c r="D882" s="1444"/>
      <c r="E882" s="17">
        <f>OBRA!N884</f>
        <v>0</v>
      </c>
      <c r="F882" s="479"/>
      <c r="G882" s="163"/>
      <c r="H882" s="511"/>
      <c r="I882" s="163"/>
      <c r="J882" s="54">
        <f>OBRA!X884</f>
        <v>0</v>
      </c>
      <c r="K882" s="55">
        <f>OBRA!Y884</f>
        <v>0</v>
      </c>
      <c r="L882" s="19" t="str">
        <f>OBRA!O884</f>
        <v>GMJ 007C OP/2025</v>
      </c>
      <c r="M882" s="2" t="str">
        <f>OBRA!P884</f>
        <v>CONTRATO</v>
      </c>
      <c r="N882" s="3">
        <f>OBRA!Q884</f>
        <v>0</v>
      </c>
      <c r="O882" s="505"/>
      <c r="P882" s="6">
        <f>OBRA!T884</f>
        <v>0</v>
      </c>
      <c r="Q882" s="4">
        <f>OBRA!S884</f>
        <v>0</v>
      </c>
      <c r="R882" s="5">
        <f>OBRA!U884</f>
        <v>0</v>
      </c>
      <c r="S882" s="11">
        <f>OBRA!V884</f>
        <v>0</v>
      </c>
      <c r="T882" s="1381"/>
      <c r="U882" s="1616"/>
      <c r="V882" s="538"/>
      <c r="W882" s="438"/>
      <c r="X882" s="537">
        <f>OBRA!AS884</f>
        <v>0</v>
      </c>
      <c r="Y882" s="310"/>
      <c r="Z882" s="310"/>
      <c r="AA882" s="5"/>
      <c r="AB882" s="314"/>
      <c r="AC882" s="318">
        <f>OBRA!BX884</f>
        <v>0</v>
      </c>
      <c r="AD882" s="353"/>
      <c r="AE882" s="353"/>
    </row>
    <row r="883" spans="1:31" ht="75.75" hidden="1" customHeight="1">
      <c r="A883" s="22" t="s">
        <v>2209</v>
      </c>
      <c r="B883" s="814" t="str">
        <f>'ADMININSTRACIÓN DIR - OBRA'!B885</f>
        <v>2024-2027</v>
      </c>
      <c r="C883" s="16">
        <f>OBRA!K885</f>
        <v>2025</v>
      </c>
      <c r="D883" s="1444"/>
      <c r="E883" s="17">
        <f>OBRA!N885</f>
        <v>0</v>
      </c>
      <c r="F883" s="479"/>
      <c r="G883" s="163"/>
      <c r="H883" s="511"/>
      <c r="I883" s="163"/>
      <c r="J883" s="54">
        <f>OBRA!X885</f>
        <v>0</v>
      </c>
      <c r="K883" s="55">
        <f>OBRA!Y885</f>
        <v>0</v>
      </c>
      <c r="L883" s="19" t="str">
        <f>OBRA!O885</f>
        <v>GMJ 008C OP/2025</v>
      </c>
      <c r="M883" s="2" t="str">
        <f>OBRA!P885</f>
        <v>CONTRATO</v>
      </c>
      <c r="N883" s="3">
        <f>OBRA!Q885</f>
        <v>0</v>
      </c>
      <c r="O883" s="505"/>
      <c r="P883" s="6">
        <f>OBRA!T885</f>
        <v>0</v>
      </c>
      <c r="Q883" s="4">
        <f>OBRA!S885</f>
        <v>0</v>
      </c>
      <c r="R883" s="5">
        <f>OBRA!U885</f>
        <v>0</v>
      </c>
      <c r="S883" s="11">
        <f>OBRA!V885</f>
        <v>0</v>
      </c>
      <c r="T883" s="1381"/>
      <c r="U883" s="1616"/>
      <c r="V883" s="538"/>
      <c r="W883" s="438"/>
      <c r="X883" s="537">
        <f>OBRA!AS885</f>
        <v>0</v>
      </c>
      <c r="Y883" s="310"/>
      <c r="Z883" s="310"/>
      <c r="AA883" s="5"/>
      <c r="AB883" s="314"/>
      <c r="AC883" s="318">
        <f>OBRA!BX885</f>
        <v>0</v>
      </c>
      <c r="AD883" s="353"/>
      <c r="AE883" s="353"/>
    </row>
    <row r="884" spans="1:31" ht="75.75" hidden="1" customHeight="1">
      <c r="A884" s="22" t="s">
        <v>2209</v>
      </c>
      <c r="B884" s="814" t="str">
        <f>'ADMININSTRACIÓN DIR - OBRA'!B886</f>
        <v>2024-2027</v>
      </c>
      <c r="C884" s="16">
        <f>OBRA!K886</f>
        <v>2025</v>
      </c>
      <c r="D884" s="1444"/>
      <c r="E884" s="17">
        <f>OBRA!N886</f>
        <v>0</v>
      </c>
      <c r="F884" s="479"/>
      <c r="G884" s="163"/>
      <c r="H884" s="511"/>
      <c r="I884" s="163"/>
      <c r="J884" s="54">
        <f>OBRA!X886</f>
        <v>0</v>
      </c>
      <c r="K884" s="55">
        <f>OBRA!Y886</f>
        <v>0</v>
      </c>
      <c r="L884" s="19" t="str">
        <f>OBRA!O886</f>
        <v>GMJ 009C OP/2025</v>
      </c>
      <c r="M884" s="2" t="str">
        <f>OBRA!P886</f>
        <v>CONTRATO</v>
      </c>
      <c r="N884" s="3">
        <f>OBRA!Q886</f>
        <v>0</v>
      </c>
      <c r="O884" s="505"/>
      <c r="P884" s="6">
        <f>OBRA!T886</f>
        <v>0</v>
      </c>
      <c r="Q884" s="4">
        <f>OBRA!S886</f>
        <v>0</v>
      </c>
      <c r="R884" s="5">
        <f>OBRA!U886</f>
        <v>0</v>
      </c>
      <c r="S884" s="11">
        <f>OBRA!V886</f>
        <v>0</v>
      </c>
      <c r="T884" s="1381"/>
      <c r="U884" s="1616"/>
      <c r="V884" s="538"/>
      <c r="W884" s="438"/>
      <c r="X884" s="537">
        <f>OBRA!AS886</f>
        <v>0</v>
      </c>
      <c r="Y884" s="310"/>
      <c r="Z884" s="310"/>
      <c r="AA884" s="5"/>
      <c r="AB884" s="314"/>
      <c r="AC884" s="318">
        <f>OBRA!BX886</f>
        <v>0</v>
      </c>
      <c r="AD884" s="353"/>
      <c r="AE884" s="353"/>
    </row>
    <row r="885" spans="1:31" ht="75.75" hidden="1" customHeight="1">
      <c r="A885" s="22" t="s">
        <v>2209</v>
      </c>
      <c r="B885" s="814" t="str">
        <f>'ADMININSTRACIÓN DIR - OBRA'!B887</f>
        <v>2024-2027</v>
      </c>
      <c r="C885" s="16">
        <f>OBRA!K887</f>
        <v>2025</v>
      </c>
      <c r="D885" s="1444"/>
      <c r="E885" s="17">
        <f>OBRA!N887</f>
        <v>0</v>
      </c>
      <c r="F885" s="479"/>
      <c r="G885" s="163"/>
      <c r="H885" s="511"/>
      <c r="I885" s="163"/>
      <c r="J885" s="54">
        <f>OBRA!X887</f>
        <v>0</v>
      </c>
      <c r="K885" s="55">
        <f>OBRA!Y887</f>
        <v>0</v>
      </c>
      <c r="L885" s="19" t="str">
        <f>OBRA!O887</f>
        <v>GMJ 010C OP/2025</v>
      </c>
      <c r="M885" s="2" t="str">
        <f>OBRA!P887</f>
        <v>CONTRATO</v>
      </c>
      <c r="N885" s="3">
        <f>OBRA!Q887</f>
        <v>0</v>
      </c>
      <c r="O885" s="505"/>
      <c r="P885" s="6">
        <f>OBRA!T887</f>
        <v>0</v>
      </c>
      <c r="Q885" s="4">
        <f>OBRA!S887</f>
        <v>0</v>
      </c>
      <c r="R885" s="5">
        <f>OBRA!U887</f>
        <v>0</v>
      </c>
      <c r="S885" s="11">
        <f>OBRA!V887</f>
        <v>0</v>
      </c>
      <c r="T885" s="1381"/>
      <c r="U885" s="1616"/>
      <c r="V885" s="538"/>
      <c r="W885" s="438"/>
      <c r="X885" s="537">
        <f>OBRA!AS887</f>
        <v>0</v>
      </c>
      <c r="Y885" s="310"/>
      <c r="Z885" s="310"/>
      <c r="AA885" s="5"/>
      <c r="AB885" s="314"/>
      <c r="AC885" s="318">
        <f>OBRA!BX887</f>
        <v>0</v>
      </c>
      <c r="AD885" s="353"/>
      <c r="AE885" s="353"/>
    </row>
    <row r="886" spans="1:31" ht="75.75" hidden="1" customHeight="1">
      <c r="A886" s="22" t="s">
        <v>2209</v>
      </c>
      <c r="B886" s="814" t="str">
        <f>'ADMININSTRACIÓN DIR - OBRA'!B888</f>
        <v>2024-2027</v>
      </c>
      <c r="C886" s="16">
        <f>OBRA!K888</f>
        <v>0</v>
      </c>
      <c r="D886" s="1444"/>
      <c r="E886" s="17">
        <f>OBRA!N888</f>
        <v>0</v>
      </c>
      <c r="F886" s="479"/>
      <c r="G886" s="163"/>
      <c r="H886" s="511"/>
      <c r="I886" s="163"/>
      <c r="J886" s="54">
        <f>OBRA!X888</f>
        <v>0</v>
      </c>
      <c r="K886" s="55">
        <f>OBRA!Y888</f>
        <v>0</v>
      </c>
      <c r="L886" s="19">
        <f>OBRA!O888</f>
        <v>0</v>
      </c>
      <c r="M886" s="2">
        <f>OBRA!P888</f>
        <v>0</v>
      </c>
      <c r="N886" s="3">
        <f>OBRA!Q888</f>
        <v>0</v>
      </c>
      <c r="O886" s="505"/>
      <c r="P886" s="6">
        <f>OBRA!T888</f>
        <v>0</v>
      </c>
      <c r="Q886" s="4">
        <f>OBRA!S888</f>
        <v>0</v>
      </c>
      <c r="R886" s="5">
        <f>OBRA!U888</f>
        <v>0</v>
      </c>
      <c r="S886" s="11">
        <f>OBRA!V888</f>
        <v>0</v>
      </c>
      <c r="T886" s="1381"/>
      <c r="U886" s="1616"/>
      <c r="V886" s="538"/>
      <c r="W886" s="438"/>
      <c r="X886" s="537">
        <f>OBRA!AS888</f>
        <v>0</v>
      </c>
      <c r="Y886" s="310"/>
      <c r="Z886" s="310"/>
      <c r="AA886" s="5"/>
      <c r="AB886" s="314"/>
      <c r="AC886" s="318">
        <f>OBRA!BX888</f>
        <v>0</v>
      </c>
      <c r="AD886" s="353"/>
      <c r="AE886" s="353"/>
    </row>
    <row r="887" spans="1:31" ht="75.75" hidden="1" customHeight="1">
      <c r="A887" s="22" t="s">
        <v>2209</v>
      </c>
      <c r="B887" s="814" t="str">
        <f>'ADMININSTRACIÓN DIR - OBRA'!B889</f>
        <v>2024-2027</v>
      </c>
      <c r="C887" s="16">
        <f>OBRA!K889</f>
        <v>0</v>
      </c>
      <c r="D887" s="1444"/>
      <c r="E887" s="17">
        <f>OBRA!N889</f>
        <v>0</v>
      </c>
      <c r="F887" s="479"/>
      <c r="G887" s="163"/>
      <c r="H887" s="511"/>
      <c r="I887" s="163"/>
      <c r="J887" s="54">
        <f>OBRA!X889</f>
        <v>0</v>
      </c>
      <c r="K887" s="55">
        <f>OBRA!Y889</f>
        <v>0</v>
      </c>
      <c r="L887" s="19">
        <f>OBRA!O889</f>
        <v>0</v>
      </c>
      <c r="M887" s="2">
        <f>OBRA!P889</f>
        <v>0</v>
      </c>
      <c r="N887" s="3">
        <f>OBRA!Q889</f>
        <v>0</v>
      </c>
      <c r="O887" s="505"/>
      <c r="P887" s="6">
        <f>OBRA!T889</f>
        <v>0</v>
      </c>
      <c r="Q887" s="4">
        <f>OBRA!S889</f>
        <v>0</v>
      </c>
      <c r="R887" s="5">
        <f>OBRA!U889</f>
        <v>0</v>
      </c>
      <c r="S887" s="11">
        <f>OBRA!V889</f>
        <v>0</v>
      </c>
      <c r="T887" s="1381"/>
      <c r="U887" s="1616"/>
      <c r="V887" s="538"/>
      <c r="W887" s="438"/>
      <c r="X887" s="537">
        <f>OBRA!AS889</f>
        <v>0</v>
      </c>
      <c r="Y887" s="310"/>
      <c r="Z887" s="310"/>
      <c r="AA887" s="5"/>
      <c r="AB887" s="314"/>
      <c r="AC887" s="318">
        <f>OBRA!BX889</f>
        <v>0</v>
      </c>
      <c r="AD887" s="353"/>
      <c r="AE887" s="353"/>
    </row>
    <row r="888" spans="1:31" ht="75.75" hidden="1" customHeight="1">
      <c r="A888" s="22" t="s">
        <v>2209</v>
      </c>
      <c r="B888" s="814" t="str">
        <f>'ADMININSTRACIÓN DIR - OBRA'!B890</f>
        <v>2024-2027</v>
      </c>
      <c r="C888" s="16">
        <f>OBRA!K890</f>
        <v>0</v>
      </c>
      <c r="D888" s="1444"/>
      <c r="E888" s="17">
        <f>OBRA!N890</f>
        <v>0</v>
      </c>
      <c r="F888" s="479"/>
      <c r="G888" s="163"/>
      <c r="H888" s="511"/>
      <c r="I888" s="163"/>
      <c r="J888" s="54">
        <f>OBRA!X890</f>
        <v>0</v>
      </c>
      <c r="K888" s="55">
        <f>OBRA!Y890</f>
        <v>0</v>
      </c>
      <c r="L888" s="19">
        <f>OBRA!O890</f>
        <v>0</v>
      </c>
      <c r="M888" s="2">
        <f>OBRA!P890</f>
        <v>0</v>
      </c>
      <c r="N888" s="3">
        <f>OBRA!Q890</f>
        <v>0</v>
      </c>
      <c r="O888" s="505"/>
      <c r="P888" s="6">
        <f>OBRA!T890</f>
        <v>0</v>
      </c>
      <c r="Q888" s="4">
        <f>OBRA!S890</f>
        <v>0</v>
      </c>
      <c r="R888" s="5">
        <f>OBRA!U890</f>
        <v>0</v>
      </c>
      <c r="S888" s="11">
        <f>OBRA!V890</f>
        <v>0</v>
      </c>
      <c r="T888" s="1381"/>
      <c r="U888" s="1616"/>
      <c r="V888" s="538"/>
      <c r="W888" s="438"/>
      <c r="X888" s="537">
        <f>OBRA!AS890</f>
        <v>0</v>
      </c>
      <c r="Y888" s="310"/>
      <c r="Z888" s="310"/>
      <c r="AA888" s="5"/>
      <c r="AB888" s="314"/>
      <c r="AC888" s="318">
        <f>OBRA!BX890</f>
        <v>0</v>
      </c>
      <c r="AD888" s="353"/>
      <c r="AE888" s="353"/>
    </row>
    <row r="889" spans="1:31" ht="75.75" hidden="1" customHeight="1">
      <c r="A889" s="22" t="s">
        <v>2209</v>
      </c>
      <c r="B889" s="814" t="str">
        <f>'ADMININSTRACIÓN DIR - OBRA'!B891</f>
        <v>2024-2027</v>
      </c>
      <c r="C889" s="16">
        <f>OBRA!K891</f>
        <v>0</v>
      </c>
      <c r="D889" s="1444"/>
      <c r="E889" s="17">
        <f>OBRA!N891</f>
        <v>0</v>
      </c>
      <c r="F889" s="479"/>
      <c r="G889" s="163"/>
      <c r="H889" s="511"/>
      <c r="I889" s="163"/>
      <c r="J889" s="54">
        <f>OBRA!X891</f>
        <v>0</v>
      </c>
      <c r="K889" s="55">
        <f>OBRA!Y891</f>
        <v>0</v>
      </c>
      <c r="L889" s="19">
        <f>OBRA!O891</f>
        <v>0</v>
      </c>
      <c r="M889" s="2">
        <f>OBRA!P891</f>
        <v>0</v>
      </c>
      <c r="N889" s="3">
        <f>OBRA!Q891</f>
        <v>0</v>
      </c>
      <c r="O889" s="505"/>
      <c r="P889" s="6">
        <f>OBRA!T891</f>
        <v>0</v>
      </c>
      <c r="Q889" s="4">
        <f>OBRA!S891</f>
        <v>0</v>
      </c>
      <c r="R889" s="5">
        <f>OBRA!U891</f>
        <v>0</v>
      </c>
      <c r="S889" s="11">
        <f>OBRA!V891</f>
        <v>0</v>
      </c>
      <c r="T889" s="1381"/>
      <c r="U889" s="1616"/>
      <c r="V889" s="538"/>
      <c r="W889" s="438"/>
      <c r="X889" s="537">
        <f>OBRA!AS891</f>
        <v>0</v>
      </c>
      <c r="Y889" s="310"/>
      <c r="Z889" s="310"/>
      <c r="AA889" s="5"/>
      <c r="AB889" s="314"/>
      <c r="AC889" s="318">
        <f>OBRA!BX891</f>
        <v>0</v>
      </c>
      <c r="AD889" s="353"/>
      <c r="AE889" s="353"/>
    </row>
    <row r="890" spans="1:31" ht="75.75" hidden="1" customHeight="1">
      <c r="A890" s="22" t="s">
        <v>2209</v>
      </c>
      <c r="B890" s="814" t="str">
        <f>'ADMININSTRACIÓN DIR - OBRA'!B892</f>
        <v>2024-2027</v>
      </c>
      <c r="C890" s="16">
        <f>OBRA!K892</f>
        <v>0</v>
      </c>
      <c r="D890" s="1444"/>
      <c r="E890" s="17">
        <f>OBRA!N892</f>
        <v>0</v>
      </c>
      <c r="F890" s="479"/>
      <c r="G890" s="163"/>
      <c r="H890" s="511"/>
      <c r="I890" s="163"/>
      <c r="J890" s="54">
        <f>OBRA!X892</f>
        <v>0</v>
      </c>
      <c r="K890" s="55">
        <f>OBRA!Y892</f>
        <v>0</v>
      </c>
      <c r="L890" s="19">
        <f>OBRA!O892</f>
        <v>0</v>
      </c>
      <c r="M890" s="2">
        <f>OBRA!P892</f>
        <v>0</v>
      </c>
      <c r="N890" s="3">
        <f>OBRA!Q892</f>
        <v>0</v>
      </c>
      <c r="O890" s="505"/>
      <c r="P890" s="6">
        <f>OBRA!T892</f>
        <v>0</v>
      </c>
      <c r="Q890" s="4">
        <f>OBRA!S892</f>
        <v>0</v>
      </c>
      <c r="R890" s="5">
        <f>OBRA!U892</f>
        <v>0</v>
      </c>
      <c r="S890" s="11">
        <f>OBRA!V892</f>
        <v>0</v>
      </c>
      <c r="T890" s="1381"/>
      <c r="U890" s="1616"/>
      <c r="V890" s="538"/>
      <c r="W890" s="438"/>
      <c r="X890" s="537">
        <f>OBRA!AS892</f>
        <v>0</v>
      </c>
      <c r="Y890" s="310"/>
      <c r="Z890" s="310"/>
      <c r="AA890" s="5"/>
      <c r="AB890" s="314"/>
      <c r="AC890" s="318">
        <f>OBRA!BX892</f>
        <v>0</v>
      </c>
      <c r="AD890" s="353"/>
      <c r="AE890" s="353"/>
    </row>
    <row r="891" spans="1:31" ht="75.75" hidden="1" customHeight="1">
      <c r="A891" s="22" t="s">
        <v>2209</v>
      </c>
      <c r="B891" s="814" t="str">
        <f>'ADMININSTRACIÓN DIR - OBRA'!B893</f>
        <v>2024-2027</v>
      </c>
      <c r="C891" s="16">
        <f>OBRA!K893</f>
        <v>0</v>
      </c>
      <c r="D891" s="1444"/>
      <c r="E891" s="17">
        <f>OBRA!N893</f>
        <v>0</v>
      </c>
      <c r="F891" s="479"/>
      <c r="G891" s="163"/>
      <c r="H891" s="511"/>
      <c r="I891" s="163"/>
      <c r="J891" s="54">
        <f>OBRA!X893</f>
        <v>0</v>
      </c>
      <c r="K891" s="55">
        <f>OBRA!Y893</f>
        <v>0</v>
      </c>
      <c r="L891" s="19">
        <f>OBRA!O893</f>
        <v>0</v>
      </c>
      <c r="M891" s="2">
        <f>OBRA!P893</f>
        <v>0</v>
      </c>
      <c r="N891" s="3">
        <f>OBRA!Q893</f>
        <v>0</v>
      </c>
      <c r="O891" s="505"/>
      <c r="P891" s="6">
        <f>OBRA!T893</f>
        <v>0</v>
      </c>
      <c r="Q891" s="4">
        <f>OBRA!S893</f>
        <v>0</v>
      </c>
      <c r="R891" s="5">
        <f>OBRA!U893</f>
        <v>0</v>
      </c>
      <c r="S891" s="11">
        <f>OBRA!V893</f>
        <v>0</v>
      </c>
      <c r="T891" s="1381"/>
      <c r="U891" s="1616"/>
      <c r="V891" s="538"/>
      <c r="W891" s="438"/>
      <c r="X891" s="537">
        <f>OBRA!AS893</f>
        <v>0</v>
      </c>
      <c r="Y891" s="310"/>
      <c r="Z891" s="310"/>
      <c r="AA891" s="5"/>
      <c r="AB891" s="314"/>
      <c r="AC891" s="318">
        <f>OBRA!BX893</f>
        <v>0</v>
      </c>
      <c r="AD891" s="353"/>
      <c r="AE891" s="353"/>
    </row>
    <row r="892" spans="1:31" ht="75.75" hidden="1" customHeight="1">
      <c r="A892" s="22" t="s">
        <v>2209</v>
      </c>
      <c r="B892" s="814" t="str">
        <f>'ADMININSTRACIÓN DIR - OBRA'!B894</f>
        <v>2024-2027</v>
      </c>
      <c r="C892" s="16">
        <f>OBRA!K894</f>
        <v>0</v>
      </c>
      <c r="D892" s="1444"/>
      <c r="E892" s="17">
        <f>OBRA!N894</f>
        <v>0</v>
      </c>
      <c r="F892" s="479"/>
      <c r="G892" s="163"/>
      <c r="H892" s="511"/>
      <c r="I892" s="163"/>
      <c r="J892" s="54">
        <f>OBRA!X894</f>
        <v>0</v>
      </c>
      <c r="K892" s="55">
        <f>OBRA!Y894</f>
        <v>0</v>
      </c>
      <c r="L892" s="19">
        <f>OBRA!O894</f>
        <v>0</v>
      </c>
      <c r="M892" s="2">
        <f>OBRA!P894</f>
        <v>0</v>
      </c>
      <c r="N892" s="3">
        <f>OBRA!Q894</f>
        <v>0</v>
      </c>
      <c r="O892" s="505"/>
      <c r="P892" s="6">
        <f>OBRA!T894</f>
        <v>0</v>
      </c>
      <c r="Q892" s="4">
        <f>OBRA!S894</f>
        <v>0</v>
      </c>
      <c r="R892" s="5">
        <f>OBRA!U894</f>
        <v>0</v>
      </c>
      <c r="S892" s="11">
        <f>OBRA!V894</f>
        <v>0</v>
      </c>
      <c r="T892" s="1381"/>
      <c r="U892" s="1616"/>
      <c r="V892" s="538"/>
      <c r="W892" s="438"/>
      <c r="X892" s="537">
        <f>OBRA!AS894</f>
        <v>0</v>
      </c>
      <c r="Y892" s="310"/>
      <c r="Z892" s="310"/>
      <c r="AA892" s="5"/>
      <c r="AB892" s="314"/>
      <c r="AC892" s="318">
        <f>OBRA!BX894</f>
        <v>0</v>
      </c>
      <c r="AD892" s="353"/>
      <c r="AE892" s="353"/>
    </row>
    <row r="893" spans="1:31" ht="75.75" hidden="1" customHeight="1">
      <c r="A893" s="22" t="s">
        <v>2209</v>
      </c>
      <c r="B893" s="814" t="str">
        <f>'ADMININSTRACIÓN DIR - OBRA'!B895</f>
        <v>2024-2027</v>
      </c>
      <c r="C893" s="16">
        <f>OBRA!K895</f>
        <v>0</v>
      </c>
      <c r="D893" s="1444"/>
      <c r="E893" s="17">
        <f>OBRA!N895</f>
        <v>0</v>
      </c>
      <c r="F893" s="479"/>
      <c r="G893" s="163"/>
      <c r="H893" s="511"/>
      <c r="I893" s="163"/>
      <c r="J893" s="54">
        <f>OBRA!X895</f>
        <v>0</v>
      </c>
      <c r="K893" s="55">
        <f>OBRA!Y895</f>
        <v>0</v>
      </c>
      <c r="L893" s="19">
        <f>OBRA!O895</f>
        <v>0</v>
      </c>
      <c r="M893" s="2">
        <f>OBRA!P895</f>
        <v>0</v>
      </c>
      <c r="N893" s="3">
        <f>OBRA!Q895</f>
        <v>0</v>
      </c>
      <c r="O893" s="505"/>
      <c r="P893" s="6">
        <f>OBRA!T895</f>
        <v>0</v>
      </c>
      <c r="Q893" s="4">
        <f>OBRA!S895</f>
        <v>0</v>
      </c>
      <c r="R893" s="5">
        <f>OBRA!U895</f>
        <v>0</v>
      </c>
      <c r="S893" s="11">
        <f>OBRA!V895</f>
        <v>0</v>
      </c>
      <c r="T893" s="1381"/>
      <c r="U893" s="1616"/>
      <c r="V893" s="538"/>
      <c r="W893" s="438"/>
      <c r="X893" s="537">
        <f>OBRA!AS895</f>
        <v>0</v>
      </c>
      <c r="Y893" s="310"/>
      <c r="Z893" s="310"/>
      <c r="AA893" s="5"/>
      <c r="AB893" s="314"/>
      <c r="AC893" s="318">
        <f>OBRA!BX895</f>
        <v>0</v>
      </c>
      <c r="AD893" s="353"/>
      <c r="AE893" s="353"/>
    </row>
    <row r="894" spans="1:31">
      <c r="A894" s="23"/>
      <c r="B894" s="23"/>
      <c r="C894" s="24"/>
      <c r="D894" s="24"/>
      <c r="E894" s="23"/>
      <c r="F894" s="23"/>
      <c r="G894" s="23"/>
      <c r="H894" s="23"/>
      <c r="I894" s="23"/>
      <c r="J894" s="23"/>
      <c r="K894" s="23"/>
      <c r="L894" s="23"/>
      <c r="M894" s="25"/>
      <c r="N894" s="26"/>
      <c r="O894" s="26"/>
      <c r="P894" s="28"/>
      <c r="Q894" s="28"/>
      <c r="R894" s="29"/>
      <c r="S894" s="29"/>
      <c r="T894" s="29"/>
      <c r="U894" s="29"/>
      <c r="V894" s="1387"/>
      <c r="W894" s="1387"/>
      <c r="X894" s="29"/>
      <c r="Y894" s="253"/>
      <c r="Z894" s="253"/>
      <c r="AA894" s="253"/>
      <c r="AB894" s="253"/>
      <c r="AC894" s="253"/>
      <c r="AD894" s="253"/>
      <c r="AE894" s="253"/>
    </row>
    <row r="895" spans="1:31" ht="15.75" thickBot="1">
      <c r="V895" s="948"/>
      <c r="W895" s="948"/>
    </row>
    <row r="896" spans="1:31" ht="18.75">
      <c r="A896" s="1714" t="s">
        <v>2276</v>
      </c>
      <c r="B896" s="1715"/>
      <c r="C896" s="1715"/>
      <c r="D896" s="1715"/>
      <c r="E896" s="1715"/>
      <c r="F896" s="1715"/>
      <c r="G896" s="1715"/>
      <c r="H896" s="1715"/>
      <c r="I896" s="1715"/>
      <c r="J896" s="1715"/>
      <c r="K896" s="1715"/>
      <c r="L896" s="1716"/>
    </row>
    <row r="897" spans="1:17" ht="6" customHeight="1">
      <c r="A897" s="372"/>
      <c r="B897" s="811"/>
      <c r="L897" s="373"/>
    </row>
    <row r="898" spans="1:17" ht="18.75">
      <c r="A898" s="377">
        <v>2</v>
      </c>
      <c r="B898" s="812"/>
      <c r="E898" t="s">
        <v>2277</v>
      </c>
      <c r="L898" s="373"/>
    </row>
    <row r="899" spans="1:17" ht="18.75">
      <c r="A899" s="377">
        <v>6</v>
      </c>
      <c r="B899" s="812"/>
      <c r="E899" t="s">
        <v>2278</v>
      </c>
      <c r="L899" s="373"/>
    </row>
    <row r="900" spans="1:17" ht="16.5" thickBot="1">
      <c r="A900" s="374"/>
      <c r="B900" s="813"/>
      <c r="C900" s="375"/>
      <c r="D900" s="375"/>
      <c r="E900" s="375"/>
      <c r="F900" s="375"/>
      <c r="G900" s="375"/>
      <c r="H900" s="375"/>
      <c r="I900" s="375"/>
      <c r="J900" s="375"/>
      <c r="K900" s="375"/>
      <c r="L900" s="376"/>
    </row>
    <row r="902" spans="1:17" s="424" customFormat="1" ht="18.75">
      <c r="A902" s="2134" t="s">
        <v>2182</v>
      </c>
      <c r="B902" s="2135"/>
      <c r="C902" s="2135"/>
      <c r="D902" s="2135"/>
      <c r="E902" s="2136"/>
      <c r="F902" s="1023"/>
    </row>
    <row r="903" spans="1:17" s="1018" customFormat="1" ht="24" customHeight="1">
      <c r="A903" s="2131">
        <f>OBRA!Q904</f>
        <v>45789</v>
      </c>
      <c r="B903" s="2132"/>
      <c r="C903" s="2132"/>
      <c r="D903" s="2132"/>
      <c r="E903" s="2133"/>
      <c r="F903" s="1025"/>
      <c r="N903" s="1026"/>
      <c r="Q903" s="1027"/>
    </row>
    <row r="904" spans="1:17">
      <c r="Q904" s="506"/>
    </row>
  </sheetData>
  <autoFilter ref="A6:AE893" xr:uid="{00000000-0009-0000-0000-000003000000}">
    <filterColumn colId="2">
      <filters>
        <filter val="2022"/>
        <filter val="2023"/>
        <filter val="2024"/>
        <filter val="2025"/>
      </filters>
    </filterColumn>
    <filterColumn colId="12">
      <filters>
        <filter val="ADJUDICACIÓN DIRECTA"/>
      </filters>
    </filterColumn>
  </autoFilter>
  <mergeCells count="7">
    <mergeCell ref="A903:E903"/>
    <mergeCell ref="A902:E90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s>
  <pageMargins left="0.47244094488188981" right="0.23622047244094491" top="0.43307086614173229" bottom="0.39370078740157483" header="0.31496062992125984" footer="0.31496062992125984"/>
  <pageSetup scale="22" orientation="portrait" r:id="rId61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883"/>
  <sheetViews>
    <sheetView view="pageBreakPreview" zoomScale="55" zoomScaleNormal="85" zoomScaleSheetLayoutView="55" workbookViewId="0">
      <selection activeCell="L660" sqref="L660"/>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40" t="s">
        <v>3631</v>
      </c>
      <c r="B1" s="2140"/>
      <c r="C1" s="2140"/>
      <c r="D1" s="2140"/>
      <c r="E1" s="2140"/>
      <c r="F1" s="2140"/>
      <c r="G1" s="2140"/>
      <c r="H1" s="2140"/>
      <c r="I1" s="2140"/>
      <c r="J1" s="2140"/>
      <c r="K1" s="2140"/>
      <c r="L1" s="2140"/>
      <c r="M1" s="2140"/>
      <c r="N1" s="2140"/>
      <c r="O1" s="2140"/>
      <c r="P1" s="2140"/>
      <c r="Q1" s="2140"/>
      <c r="R1" s="2140"/>
      <c r="S1" s="2140"/>
      <c r="T1" s="2140"/>
      <c r="U1" s="1060"/>
      <c r="V1" s="1060"/>
      <c r="W1" s="1060"/>
      <c r="X1" s="1060"/>
      <c r="Y1" s="1060"/>
      <c r="Z1" s="1060"/>
      <c r="AA1" s="1060"/>
      <c r="AB1" s="1060"/>
      <c r="AC1" s="1060"/>
      <c r="AD1" s="1060"/>
    </row>
    <row r="2" spans="1:39" ht="23.25" customHeight="1" thickBot="1">
      <c r="A2" s="2141" t="str">
        <f>'ADMININSTRACIÓN DIR - OBRA'!A2:BJ2</f>
        <v>DEL 01 DE ENERO 2022 A FECHA ACTUAL</v>
      </c>
      <c r="B2" s="2141"/>
      <c r="C2" s="2141"/>
      <c r="D2" s="2141"/>
      <c r="E2" s="2141"/>
      <c r="F2" s="2141"/>
      <c r="G2" s="2141"/>
      <c r="H2" s="2141"/>
      <c r="I2" s="2141"/>
      <c r="J2" s="2141"/>
      <c r="K2" s="2141"/>
      <c r="L2" s="2141"/>
      <c r="M2" s="2141"/>
      <c r="N2" s="2141"/>
      <c r="O2" s="2141"/>
      <c r="P2" s="2141"/>
      <c r="Q2" s="2141"/>
      <c r="R2" s="2141"/>
      <c r="S2" s="2141"/>
      <c r="T2" s="2141"/>
      <c r="U2" s="759"/>
      <c r="V2" s="1135"/>
      <c r="W2" s="759"/>
      <c r="X2" s="759"/>
      <c r="Y2" s="759"/>
      <c r="Z2" s="759"/>
      <c r="AA2" s="759"/>
      <c r="AB2" s="759"/>
      <c r="AC2" s="759"/>
      <c r="AD2" s="759"/>
    </row>
    <row r="3" spans="1:39" ht="33" customHeight="1" thickTop="1" thickBot="1">
      <c r="A3" s="133"/>
      <c r="B3" s="133"/>
      <c r="C3" s="39"/>
      <c r="D3" s="432"/>
      <c r="E3" s="143"/>
      <c r="F3" s="143"/>
      <c r="G3" s="143"/>
      <c r="H3" s="143"/>
      <c r="I3" s="2067" t="s">
        <v>4</v>
      </c>
      <c r="J3" s="2068"/>
      <c r="K3" s="2142" t="s">
        <v>2</v>
      </c>
      <c r="L3" s="2143"/>
      <c r="M3" s="2143"/>
      <c r="N3" s="2143"/>
      <c r="O3" s="2143"/>
      <c r="P3" s="2143"/>
      <c r="Q3" s="2143"/>
      <c r="R3" s="2143"/>
      <c r="S3" s="2143"/>
      <c r="T3" s="2144"/>
      <c r="U3" s="1369"/>
      <c r="V3" s="1373"/>
      <c r="W3" s="1367"/>
      <c r="X3" s="363"/>
      <c r="Y3" s="1001"/>
      <c r="Z3" s="2137" t="s">
        <v>2184</v>
      </c>
      <c r="AA3" s="2137"/>
      <c r="AB3" s="2138"/>
      <c r="AC3" s="2139"/>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6844</v>
      </c>
      <c r="N5" s="2001" t="s">
        <v>2200</v>
      </c>
      <c r="O5" s="2002" t="s">
        <v>6845</v>
      </c>
      <c r="P5" s="43" t="s">
        <v>25</v>
      </c>
      <c r="Q5" s="43" t="s">
        <v>24</v>
      </c>
      <c r="R5" s="154" t="s">
        <v>5593</v>
      </c>
      <c r="S5" s="43" t="s">
        <v>26</v>
      </c>
      <c r="T5" s="44" t="s">
        <v>27</v>
      </c>
      <c r="U5" s="699" t="s">
        <v>3816</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'ADMININSTRACIÓN DIR - OBRA'!B8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'ADMININSTRACIÓN DIR - OBRA'!B9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'ADMININSTRACIÓN DIR - OBRA'!B10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'ADMININSTRACIÓN DIR - OBRA'!B11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'ADMININSTRACIÓN DIR - OBRA'!B12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'ADMININSTRACIÓN DIR - OBRA'!B13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'ADMININSTRACIÓN DIR - OBRA'!B14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'ADMININSTRACIÓN DIR - OBRA'!B15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'ADMININSTRACIÓN DIR - OBRA'!B16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'ADMININSTRACIÓN DIR - OBRA'!B17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'ADMININSTRACIÓN DIR - OBRA'!B18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'ADMININSTRACIÓN DIR - OBRA'!B19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'ADMININSTRACIÓN DIR - OBRA'!B20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'ADMININSTRACIÓN DIR - OBRA'!B21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'ADMININSTRACIÓN DIR - OBRA'!B22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'ADMININSTRACIÓN DIR - OBRA'!B23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'ADMININSTRACIÓN DIR - OBRA'!B24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'ADMININSTRACIÓN DIR - OBRA'!B25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'ADMININSTRACIÓN DIR - OBRA'!B26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'ADMININSTRACIÓN DIR - OBRA'!B27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'ADMININSTRACIÓN DIR - OBRA'!B28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'ADMININSTRACIÓN DIR - OBRA'!B29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'ADMININSTRACIÓN DIR - OBRA'!B30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'ADMININSTRACIÓN DIR - OBRA'!B31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'ADMININSTRACIÓN DIR - OBRA'!B32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'ADMININSTRACIÓN DIR - OBRA'!B33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'ADMININSTRACIÓN DIR - OBRA'!B34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'ADMININSTRACIÓN DIR - OBRA'!B35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'ADMININSTRACIÓN DIR - OBRA'!B36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'ADMININSTRACIÓN DIR - OBRA'!B37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'ADMININSTRACIÓN DIR - OBRA'!B38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'ADMININSTRACIÓN DIR - OBRA'!B39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'ADMININSTRACIÓN DIR - OBRA'!B40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'ADMININSTRACIÓN DIR - OBRA'!B41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'ADMININSTRACIÓN DIR - OBRA'!B42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'ADMININSTRACIÓN DIR - OBRA'!B43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'ADMININSTRACIÓN DIR - OBRA'!B44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'ADMININSTRACIÓN DIR - OBRA'!B45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'ADMININSTRACIÓN DIR - OBRA'!B46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'ADMININSTRACIÓN DIR - OBRA'!B47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'ADMININSTRACIÓN DIR - OBRA'!B48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'ADMININSTRACIÓN DIR - OBRA'!B49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'ADMININSTRACIÓN DIR - OBRA'!B50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'ADMININSTRACIÓN DIR - OBRA'!B51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'ADMININSTRACIÓN DIR - OBRA'!B52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'ADMININSTRACIÓN DIR - OBRA'!B53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'ADMININSTRACIÓN DIR - OBRA'!B54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'ADMININSTRACIÓN DIR - OBRA'!B55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'ADMININSTRACIÓN DIR - OBRA'!B56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'ADMININSTRACIÓN DIR - OBRA'!B57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'ADMININSTRACIÓN DIR - OBRA'!B58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'ADMININSTRACIÓN DIR - OBRA'!B59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250</v>
      </c>
      <c r="B59" s="814" t="str">
        <f>'ADMININSTRACIÓN DIR - OBRA'!B60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'ADMININSTRACIÓN DIR - OBRA'!B61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'ADMININSTRACIÓN DIR - OBRA'!B62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'ADMININSTRACIÓN DIR - OBRA'!B63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'ADMININSTRACIÓN DIR - OBRA'!B64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'ADMININSTRACIÓN DIR - OBRA'!B65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'ADMININSTRACIÓN DIR - OBRA'!B66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'ADMININSTRACIÓN DIR - OBRA'!B67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'ADMININSTRACIÓN DIR - OBRA'!B68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'ADMININSTRACIÓN DIR - OBRA'!B69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'ADMININSTRACIÓN DIR - OBRA'!B70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'ADMININSTRACIÓN DIR - OBRA'!B71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'ADMININSTRACIÓN DIR - OBRA'!B72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'ADMININSTRACIÓN DIR - OBRA'!B73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'ADMININSTRACIÓN DIR - OBRA'!B74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'ADMININSTRACIÓN DIR - OBRA'!B75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'ADMININSTRACIÓN DIR - OBRA'!B76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'ADMININSTRACIÓN DIR - OBRA'!B77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'ADMININSTRACIÓN DIR - OBRA'!B78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'ADMININSTRACIÓN DIR - OBRA'!B79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'ADMININSTRACIÓN DIR - OBRA'!B80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'ADMININSTRACIÓN DIR - OBRA'!B81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'ADMININSTRACIÓN DIR - OBRA'!B82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'ADMININSTRACIÓN DIR - OBRA'!B83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'ADMININSTRACIÓN DIR - OBRA'!B84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'ADMININSTRACIÓN DIR - OBRA'!B85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'ADMININSTRACIÓN DIR - OBRA'!B86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'ADMININSTRACIÓN DIR - OBRA'!B87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'ADMININSTRACIÓN DIR - OBRA'!B88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'ADMININSTRACIÓN DIR - OBRA'!B89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'ADMININSTRACIÓN DIR - OBRA'!B90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'ADMININSTRACIÓN DIR - OBRA'!B91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'ADMININSTRACIÓN DIR - OBRA'!B92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'ADMININSTRACIÓN DIR - OBRA'!B93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'ADMININSTRACIÓN DIR - OBRA'!B94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'ADMININSTRACIÓN DIR - OBRA'!B95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'ADMININSTRACIÓN DIR - OBRA'!B96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'ADMININSTRACIÓN DIR - OBRA'!B97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'ADMININSTRACIÓN DIR - OBRA'!B98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'ADMININSTRACIÓN DIR - OBRA'!B99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'ADMININSTRACIÓN DIR - OBRA'!B100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'ADMININSTRACIÓN DIR - OBRA'!B101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'ADMININSTRACIÓN DIR - OBRA'!B102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'ADMININSTRACIÓN DIR - OBRA'!B103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'ADMININSTRACIÓN DIR - OBRA'!B104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'ADMININSTRACIÓN DIR - OBRA'!B105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'ADMININSTRACIÓN DIR - OBRA'!B106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'ADMININSTRACIÓN DIR - OBRA'!B107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'ADMININSTRACIÓN DIR - OBRA'!B108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'ADMININSTRACIÓN DIR - OBRA'!B109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'ADMININSTRACIÓN DIR - OBRA'!B110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'ADMININSTRACIÓN DIR - OBRA'!B111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'ADMININSTRACIÓN DIR - OBRA'!B112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'ADMININSTRACIÓN DIR - OBRA'!B113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'ADMININSTRACIÓN DIR - OBRA'!B114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'ADMININSTRACIÓN DIR - OBRA'!B115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'ADMININSTRACIÓN DIR - OBRA'!B116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'ADMININSTRACIÓN DIR - OBRA'!B117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'ADMININSTRACIÓN DIR - OBRA'!B118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'ADMININSTRACIÓN DIR - OBRA'!B119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'ADMININSTRACIÓN DIR - OBRA'!B120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'ADMININSTRACIÓN DIR - OBRA'!B121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'ADMININSTRACIÓN DIR - OBRA'!B122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'ADMININSTRACIÓN DIR - OBRA'!B123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'ADMININSTRACIÓN DIR - OBRA'!B124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'ADMININSTRACIÓN DIR - OBRA'!B125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'ADMININSTRACIÓN DIR - OBRA'!B126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'ADMININSTRACIÓN DIR - OBRA'!B127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250</v>
      </c>
      <c r="B127" s="814" t="str">
        <f>'ADMININSTRACIÓN DIR - OBRA'!B128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'ADMININSTRACIÓN DIR - OBRA'!B129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'ADMININSTRACIÓN DIR - OBRA'!B130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'ADMININSTRACIÓN DIR - OBRA'!B131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'ADMININSTRACIÓN DIR - OBRA'!B132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'ADMININSTRACIÓN DIR - OBRA'!B133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'ADMININSTRACIÓN DIR - OBRA'!B134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'ADMININSTRACIÓN DIR - OBRA'!B135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'ADMININSTRACIÓN DIR - OBRA'!B136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'ADMININSTRACIÓN DIR - OBRA'!B137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'ADMININSTRACIÓN DIR - OBRA'!B138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'ADMININSTRACIÓN DIR - OBRA'!B139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'ADMININSTRACIÓN DIR - OBRA'!B140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'ADMININSTRACIÓN DIR - OBRA'!B141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'ADMININSTRACIÓN DIR - OBRA'!B142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'ADMININSTRACIÓN DIR - OBRA'!B143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'ADMININSTRACIÓN DIR - OBRA'!B144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'ADMININSTRACIÓN DIR - OBRA'!B145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'ADMININSTRACIÓN DIR - OBRA'!B146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'ADMININSTRACIÓN DIR - OBRA'!B147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'ADMININSTRACIÓN DIR - OBRA'!B148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'ADMININSTRACIÓN DIR - OBRA'!B149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'ADMININSTRACIÓN DIR - OBRA'!B150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'ADMININSTRACIÓN DIR - OBRA'!B151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'ADMININSTRACIÓN DIR - OBRA'!B152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'ADMININSTRACIÓN DIR - OBRA'!B153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'ADMININSTRACIÓN DIR - OBRA'!B154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'ADMININSTRACIÓN DIR - OBRA'!B155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'ADMININSTRACIÓN DIR - OBRA'!B156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'ADMININSTRACIÓN DIR - OBRA'!B157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'ADMININSTRACIÓN DIR - OBRA'!B158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'ADMININSTRACIÓN DIR - OBRA'!B159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'ADMININSTRACIÓN DIR - OBRA'!B160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'ADMININSTRACIÓN DIR - OBRA'!B161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'ADMININSTRACIÓN DIR - OBRA'!B162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'ADMININSTRACIÓN DIR - OBRA'!B163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'ADMININSTRACIÓN DIR - OBRA'!B164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'ADMININSTRACIÓN DIR - OBRA'!B165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'ADMININSTRACIÓN DIR - OBRA'!B166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'ADMININSTRACIÓN DIR - OBRA'!B167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'ADMININSTRACIÓN DIR - OBRA'!B168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'ADMININSTRACIÓN DIR - OBRA'!B169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'ADMININSTRACIÓN DIR - OBRA'!B170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'ADMININSTRACIÓN DIR - OBRA'!B171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'ADMININSTRACIÓN DIR - OBRA'!B172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'ADMININSTRACIÓN DIR - OBRA'!B173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'ADMININSTRACIÓN DIR - OBRA'!B174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'ADMININSTRACIÓN DIR - OBRA'!B175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'ADMININSTRACIÓN DIR - OBRA'!B176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'ADMININSTRACIÓN DIR - OBRA'!B177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'ADMININSTRACIÓN DIR - OBRA'!B178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'ADMININSTRACIÓN DIR - OBRA'!B179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'ADMININSTRACIÓN DIR - OBRA'!B180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'ADMININSTRACIÓN DIR - OBRA'!B181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'ADMININSTRACIÓN DIR - OBRA'!B182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'ADMININSTRACIÓN DIR - OBRA'!B183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'ADMININSTRACIÓN DIR - OBRA'!B184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'ADMININSTRACIÓN DIR - OBRA'!B185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'ADMININSTRACIÓN DIR - OBRA'!B186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'ADMININSTRACIÓN DIR - OBRA'!B187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'ADMININSTRACIÓN DIR - OBRA'!B188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'ADMININSTRACIÓN DIR - OBRA'!B189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'ADMININSTRACIÓN DIR - OBRA'!B190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'ADMININSTRACIÓN DIR - OBRA'!B191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'ADMININSTRACIÓN DIR - OBRA'!B192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'ADMININSTRACIÓN DIR - OBRA'!B193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'ADMININSTRACIÓN DIR - OBRA'!B194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'ADMININSTRACIÓN DIR - OBRA'!B195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'ADMININSTRACIÓN DIR - OBRA'!B196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'ADMININSTRACIÓN DIR - OBRA'!B197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'ADMININSTRACIÓN DIR - OBRA'!B198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'ADMININSTRACIÓN DIR - OBRA'!B199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'ADMININSTRACIÓN DIR - OBRA'!B200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'ADMININSTRACIÓN DIR - OBRA'!B201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'ADMININSTRACIÓN DIR - OBRA'!B202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'ADMININSTRACIÓN DIR - OBRA'!B203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'ADMININSTRACIÓN DIR - OBRA'!B204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'ADMININSTRACIÓN DIR - OBRA'!B205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'ADMININSTRACIÓN DIR - OBRA'!B206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'ADMININSTRACIÓN DIR - OBRA'!B207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'ADMININSTRACIÓN DIR - OBRA'!B208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'ADMININSTRACIÓN DIR - OBRA'!B209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'ADMININSTRACIÓN DIR - OBRA'!B210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'ADMININSTRACIÓN DIR - OBRA'!B211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'ADMININSTRACIÓN DIR - OBRA'!B212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'ADMININSTRACIÓN DIR - OBRA'!B213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'ADMININSTRACIÓN DIR - OBRA'!B214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'ADMININSTRACIÓN DIR - OBRA'!B215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'ADMININSTRACIÓN DIR - OBRA'!B216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'ADMININSTRACIÓN DIR - OBRA'!B217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'ADMININSTRACIÓN DIR - OBRA'!B218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'ADMININSTRACIÓN DIR - OBRA'!B219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'ADMININSTRACIÓN DIR - OBRA'!B220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'ADMININSTRACIÓN DIR - OBRA'!B221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'ADMININSTRACIÓN DIR - OBRA'!B222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'ADMININSTRACIÓN DIR - OBRA'!B223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'ADMININSTRACIÓN DIR - OBRA'!B224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'ADMININSTRACIÓN DIR - OBRA'!B225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'ADMININSTRACIÓN DIR - OBRA'!B226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'ADMININSTRACIÓN DIR - OBRA'!B227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'ADMININSTRACIÓN DIR - OBRA'!B228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'ADMININSTRACIÓN DIR - OBRA'!B229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'ADMININSTRACIÓN DIR - OBRA'!B230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'ADMININSTRACIÓN DIR - OBRA'!B231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'ADMININSTRACIÓN DIR - OBRA'!B232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'ADMININSTRACIÓN DIR - OBRA'!B233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'ADMININSTRACIÓN DIR - OBRA'!B234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'ADMININSTRACIÓN DIR - OBRA'!B235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'ADMININSTRACIÓN DIR - OBRA'!B236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'ADMININSTRACIÓN DIR - OBRA'!B237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'ADMININSTRACIÓN DIR - OBRA'!B238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'ADMININSTRACIÓN DIR - OBRA'!B239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'ADMININSTRACIÓN DIR - OBRA'!B240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'ADMININSTRACIÓN DIR - OBRA'!B241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'ADMININSTRACIÓN DIR - OBRA'!B242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'ADMININSTRACIÓN DIR - OBRA'!B243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'ADMININSTRACIÓN DIR - OBRA'!B244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'ADMININSTRACIÓN DIR - OBRA'!B245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'ADMININSTRACIÓN DIR - OBRA'!B246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'ADMININSTRACIÓN DIR - OBRA'!B247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'ADMININSTRACIÓN DIR - OBRA'!B248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'ADMININSTRACIÓN DIR - OBRA'!B249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'ADMININSTRACIÓN DIR - OBRA'!B250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'ADMININSTRACIÓN DIR - OBRA'!B251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'ADMININSTRACIÓN DIR - OBRA'!B252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'ADMININSTRACIÓN DIR - OBRA'!B253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'ADMININSTRACIÓN DIR - OBRA'!B254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'ADMININSTRACIÓN DIR - OBRA'!B255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'ADMININSTRACIÓN DIR - OBRA'!B256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'ADMININSTRACIÓN DIR - OBRA'!B257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'ADMININSTRACIÓN DIR - OBRA'!B258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'ADMININSTRACIÓN DIR - OBRA'!B259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'ADMININSTRACIÓN DIR - OBRA'!B260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'ADMININSTRACIÓN DIR - OBRA'!B261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'ADMININSTRACIÓN DIR - OBRA'!B262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'ADMININSTRACIÓN DIR - OBRA'!B263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'ADMININSTRACIÓN DIR - OBRA'!B264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'ADMININSTRACIÓN DIR - OBRA'!B265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'ADMININSTRACIÓN DIR - OBRA'!B266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'ADMININSTRACIÓN DIR - OBRA'!B267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'ADMININSTRACIÓN DIR - OBRA'!B268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'ADMININSTRACIÓN DIR - OBRA'!B269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'ADMININSTRACIÓN DIR - OBRA'!B270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'ADMININSTRACIÓN DIR - OBRA'!B271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'ADMININSTRACIÓN DIR - OBRA'!B272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'ADMININSTRACIÓN DIR - OBRA'!B273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'ADMININSTRACIÓN DIR - OBRA'!B274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'ADMININSTRACIÓN DIR - OBRA'!B275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'ADMININSTRACIÓN DIR - OBRA'!B276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'ADMININSTRACIÓN DIR - OBRA'!B277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'ADMININSTRACIÓN DIR - OBRA'!B278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'ADMININSTRACIÓN DIR - OBRA'!B279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'ADMININSTRACIÓN DIR - OBRA'!B280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'ADMININSTRACIÓN DIR - OBRA'!B281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'ADMININSTRACIÓN DIR - OBRA'!B282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'ADMININSTRACIÓN DIR - OBRA'!B283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'ADMININSTRACIÓN DIR - OBRA'!B284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'ADMININSTRACIÓN DIR - OBRA'!B285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'ADMININSTRACIÓN DIR - OBRA'!B286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'ADMININSTRACIÓN DIR - OBRA'!B287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'ADMININSTRACIÓN DIR - OBRA'!B288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'ADMININSTRACIÓN DIR - OBRA'!B289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'ADMININSTRACIÓN DIR - OBRA'!B290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'ADMININSTRACIÓN DIR - OBRA'!B291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'ADMININSTRACIÓN DIR - OBRA'!B292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'ADMININSTRACIÓN DIR - OBRA'!B293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'ADMININSTRACIÓN DIR - OBRA'!B294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'ADMININSTRACIÓN DIR - OBRA'!B295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'ADMININSTRACIÓN DIR - OBRA'!B293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'ADMININSTRACIÓN DIR - OBRA'!B297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'ADMININSTRACIÓN DIR - OBRA'!B298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'ADMININSTRACIÓN DIR - OBRA'!B299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'ADMININSTRACIÓN DIR - OBRA'!B300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'ADMININSTRACIÓN DIR - OBRA'!B301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'ADMININSTRACIÓN DIR - OBRA'!B302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'ADMININSTRACIÓN DIR - OBRA'!B303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'ADMININSTRACIÓN DIR - OBRA'!B304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'ADMININSTRACIÓN DIR - OBRA'!B305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'ADMININSTRACIÓN DIR - OBRA'!B306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'ADMININSTRACIÓN DIR - OBRA'!B307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'ADMININSTRACIÓN DIR - OBRA'!B308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'ADMININSTRACIÓN DIR - OBRA'!B309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'ADMININSTRACIÓN DIR - OBRA'!B310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'ADMININSTRACIÓN DIR - OBRA'!B311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'ADMININSTRACIÓN DIR - OBRA'!B312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'ADMININSTRACIÓN DIR - OBRA'!B313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'ADMININSTRACIÓN DIR - OBRA'!B314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'ADMININSTRACIÓN DIR - OBRA'!B315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'ADMININSTRACIÓN DIR - OBRA'!B316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'ADMININSTRACIÓN DIR - OBRA'!B317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'ADMININSTRACIÓN DIR - OBRA'!B318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'ADMININSTRACIÓN DIR - OBRA'!B319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'ADMININSTRACIÓN DIR - OBRA'!B320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'ADMININSTRACIÓN DIR - OBRA'!B321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'ADMININSTRACIÓN DIR - OBRA'!B322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'ADMININSTRACIÓN DIR - OBRA'!B323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'ADMININSTRACIÓN DIR - OBRA'!B324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'ADMININSTRACIÓN DIR - OBRA'!B325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'ADMININSTRACIÓN DIR - OBRA'!B326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'ADMININSTRACIÓN DIR - OBRA'!B327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'ADMININSTRACIÓN DIR - OBRA'!B328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'ADMININSTRACIÓN DIR - OBRA'!B329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'ADMININSTRACIÓN DIR - OBRA'!B330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'ADMININSTRACIÓN DIR - OBRA'!B331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'ADMININSTRACIÓN DIR - OBRA'!B332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'ADMININSTRACIÓN DIR - OBRA'!B333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'ADMININSTRACIÓN DIR - OBRA'!B334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'ADMININSTRACIÓN DIR - OBRA'!B335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'ADMININSTRACIÓN DIR - OBRA'!B336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'ADMININSTRACIÓN DIR - OBRA'!B337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'ADMININSTRACIÓN DIR - OBRA'!B338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'ADMININSTRACIÓN DIR - OBRA'!B339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'ADMININSTRACIÓN DIR - OBRA'!B340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'ADMININSTRACIÓN DIR - OBRA'!B341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'ADMININSTRACIÓN DIR - OBRA'!B342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'ADMININSTRACIÓN DIR - OBRA'!B343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'ADMININSTRACIÓN DIR - OBRA'!B344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'ADMININSTRACIÓN DIR - OBRA'!B345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'ADMININSTRACIÓN DIR - OBRA'!B346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'ADMININSTRACIÓN DIR - OBRA'!B347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'ADMININSTRACIÓN DIR - OBRA'!B348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'ADMININSTRACIÓN DIR - OBRA'!B349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'ADMININSTRACIÓN DIR - OBRA'!B350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'ADMININSTRACIÓN DIR - OBRA'!B351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'ADMININSTRACIÓN DIR - OBRA'!B352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'ADMININSTRACIÓN DIR - OBRA'!B353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'ADMININSTRACIÓN DIR - OBRA'!B354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'ADMININSTRACIÓN DIR - OBRA'!B355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'ADMININSTRACIÓN DIR - OBRA'!B356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'ADMININSTRACIÓN DIR - OBRA'!B357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'ADMININSTRACIÓN DIR - OBRA'!B358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'ADMININSTRACIÓN DIR - OBRA'!B359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'ADMININSTRACIÓN DIR - OBRA'!B360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'ADMININSTRACIÓN DIR - OBRA'!B361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'ADMININSTRACIÓN DIR - OBRA'!B362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'ADMININSTRACIÓN DIR - OBRA'!B363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'ADMININSTRACIÓN DIR - OBRA'!B364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'ADMININSTRACIÓN DIR - OBRA'!B365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'ADMININSTRACIÓN DIR - OBRA'!B366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'ADMININSTRACIÓN DIR - OBRA'!B367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'ADMININSTRACIÓN DIR - OBRA'!B368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'ADMININSTRACIÓN DIR - OBRA'!B369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'ADMININSTRACIÓN DIR - OBRA'!B370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'ADMININSTRACIÓN DIR - OBRA'!B371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'ADMININSTRACIÓN DIR - OBRA'!B372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'ADMININSTRACIÓN DIR - OBRA'!B373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'ADMININSTRACIÓN DIR - OBRA'!B374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'ADMININSTRACIÓN DIR - OBRA'!B375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'ADMININSTRACIÓN DIR - OBRA'!B376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'ADMININSTRACIÓN DIR - OBRA'!B377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'ADMININSTRACIÓN DIR - OBRA'!B378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'ADMININSTRACIÓN DIR - OBRA'!B379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'ADMININSTRACIÓN DIR - OBRA'!B380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3496</v>
      </c>
      <c r="O379" s="505"/>
      <c r="P379" s="6">
        <f>OBRA!T378</f>
        <v>43776</v>
      </c>
      <c r="Q379" s="4">
        <f>OBRA!S378</f>
        <v>1688681.79</v>
      </c>
      <c r="R379" s="4"/>
      <c r="S379" s="5">
        <f>OBRA!U378</f>
        <v>43783</v>
      </c>
      <c r="T379" s="11">
        <f>OBRA!V378</f>
        <v>43814</v>
      </c>
      <c r="U379" s="208" t="s">
        <v>3818</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'ADMININSTRACIÓN DIR - OBRA'!B381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3496</v>
      </c>
      <c r="O380" s="505"/>
      <c r="P380" s="6">
        <f>OBRA!T379</f>
        <v>43759</v>
      </c>
      <c r="Q380" s="4">
        <f>OBRA!S379</f>
        <v>256520.08</v>
      </c>
      <c r="R380" s="4"/>
      <c r="S380" s="5" t="str">
        <f>OBRA!U379</f>
        <v>-</v>
      </c>
      <c r="T380" s="11" t="str">
        <f>OBRA!V379</f>
        <v>-</v>
      </c>
      <c r="U380" s="1381" t="s">
        <v>3819</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'ADMININSTRACIÓN DIR - OBRA'!B382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3496</v>
      </c>
      <c r="O381" s="505"/>
      <c r="P381" s="6">
        <f>OBRA!T380</f>
        <v>43759</v>
      </c>
      <c r="Q381" s="4">
        <f>OBRA!S380</f>
        <v>256520.08</v>
      </c>
      <c r="R381" s="4"/>
      <c r="S381" s="5" t="str">
        <f>OBRA!U380</f>
        <v>-</v>
      </c>
      <c r="T381" s="11" t="str">
        <f>OBRA!V380</f>
        <v>-</v>
      </c>
      <c r="U381" s="1381" t="s">
        <v>3819</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'ADMININSTRACIÓN DIR - OBRA'!B383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3818</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'ADMININSTRACIÓN DIR - OBRA'!B384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3729</v>
      </c>
      <c r="O383" s="467"/>
      <c r="P383" s="6">
        <f>OBRA!T382</f>
        <v>43637</v>
      </c>
      <c r="Q383" s="4">
        <f>OBRA!S382</f>
        <v>250096</v>
      </c>
      <c r="R383" s="4"/>
      <c r="S383" s="5">
        <f>OBRA!U382</f>
        <v>43640</v>
      </c>
      <c r="T383" s="11">
        <f>OBRA!V382</f>
        <v>43830</v>
      </c>
      <c r="U383" s="1381" t="s">
        <v>3819</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'ADMININSTRACIÓN DIR - OBRA'!B385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3497</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'ADMININSTRACIÓN DIR - OBRA'!B386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3497</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'ADMININSTRACIÓN DIR - OBRA'!B387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3497</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'ADMININSTRACIÓN DIR - OBRA'!B388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3497</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'ADMININSTRACIÓN DIR - OBRA'!B389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3497</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'ADMININSTRACIÓN DIR - OBRA'!B390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3497</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'ADMININSTRACIÓN DIR - OBRA'!B391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3497</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'ADMININSTRACIÓN DIR - OBRA'!B392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3497</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'ADMININSTRACIÓN DIR - OBRA'!B393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3497</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'ADMININSTRACIÓN DIR - OBRA'!B394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3497</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'ADMININSTRACIÓN DIR - OBRA'!B395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3498</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'ADMININSTRACIÓN DIR - OBRA'!B396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'ADMININSTRACIÓN DIR - OBRA'!B397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3498</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'ADMININSTRACIÓN DIR - OBRA'!B398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3498</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'ADMININSTRACIÓN DIR - OBRA'!B399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3498</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'ADMININSTRACIÓN DIR - OBRA'!B400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3498</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'ADMININSTRACIÓN DIR - OBRA'!B401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3498</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'ADMININSTRACIÓN DIR - OBRA'!B402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3498</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'ADMININSTRACIÓN DIR - OBRA'!B403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3498</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'ADMININSTRACIÓN DIR - OBRA'!B404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3498</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'ADMININSTRACIÓN DIR - OBRA'!B405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3498</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'ADMININSTRACIÓN DIR - OBRA'!B406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3499</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'ADMININSTRACIÓN DIR - OBRA'!B407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'ADMININSTRACIÓN DIR - OBRA'!B408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3499</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'ADMININSTRACIÓN DIR - OBRA'!B409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3499</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'ADMININSTRACIÓN DIR - OBRA'!B410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3499</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'ADMININSTRACIÓN DIR - OBRA'!B411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3499</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'ADMININSTRACIÓN DIR - OBRA'!B412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3499</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'ADMININSTRACIÓN DIR - OBRA'!B413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3499</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'ADMININSTRACIÓN DIR - OBRA'!B414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3499</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'ADMININSTRACIÓN DIR - OBRA'!B415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3499</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'ADMININSTRACIÓN DIR - OBRA'!B416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3500</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'ADMININSTRACIÓN DIR - OBRA'!B417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'ADMININSTRACIÓN DIR - OBRA'!B418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'ADMININSTRACIÓN DIR - OBRA'!B419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3500</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'ADMININSTRACIÓN DIR - OBRA'!B420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3500</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'ADMININSTRACIÓN DIR - OBRA'!B421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3500</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'ADMININSTRACIÓN DIR - OBRA'!B423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3500</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tr">
        <f>'ADMININSTRACIÓN DIR - OBRA'!G424</f>
        <v>SERVICIO</v>
      </c>
      <c r="B422" s="814" t="str">
        <f>'ADMININSTRACIÓN DIR - OBRA'!B424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tr">
        <f>'ADMININSTRACIÓN DIR - OBRA'!G425</f>
        <v>SERVICIO</v>
      </c>
      <c r="B423" s="814" t="str">
        <f>'ADMININSTRACIÓN DIR - OBRA'!B425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81" t="str">
        <f>'ADMININSTRACIÓN DIR - OBRA'!G426</f>
        <v>SERVICIO</v>
      </c>
      <c r="B424" s="825" t="str">
        <f>'ADMININSTRACIÓN DIR - OBRA'!B426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tr">
        <f>'ADMININSTRACIÓN DIR - OBRA'!G427</f>
        <v>SERVICIO</v>
      </c>
      <c r="B425" s="814" t="str">
        <f>'ADMININSTRACIÓN DIR - OBRA'!B427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tr">
        <f>'ADMININSTRACIÓN DIR - OBRA'!G428</f>
        <v>SERVICIO</v>
      </c>
      <c r="B426" s="814" t="str">
        <f>'ADMININSTRACIÓN DIR - OBRA'!B428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tr">
        <f>'ADMININSTRACIÓN DIR - OBRA'!G429</f>
        <v>SERVICIO</v>
      </c>
      <c r="B427" s="814" t="str">
        <f>'ADMININSTRACIÓN DIR - OBRA'!B429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tr">
        <f>'ADMININSTRACIÓN DIR - OBRA'!G430</f>
        <v>SERVICIO</v>
      </c>
      <c r="B428" s="814" t="str">
        <f>'ADMININSTRACIÓN DIR - OBRA'!B430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tr">
        <f>'ADMININSTRACIÓN DIR - OBRA'!G431</f>
        <v>SERVICIO</v>
      </c>
      <c r="B429" s="814" t="str">
        <f>'ADMININSTRACIÓN DIR - OBRA'!B431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tr">
        <f>'ADMININSTRACIÓN DIR - OBRA'!G432</f>
        <v>SERVICIO</v>
      </c>
      <c r="B430" s="814" t="str">
        <f>'ADMININSTRACIÓN DIR - OBRA'!B432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tr">
        <f>'ADMININSTRACIÓN DIR - OBRA'!G433</f>
        <v>SERVICIO</v>
      </c>
      <c r="B431" s="814" t="str">
        <f>'ADMININSTRACIÓN DIR - OBRA'!B433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tr">
        <f>'ADMININSTRACIÓN DIR - OBRA'!G434</f>
        <v>SERVICIO</v>
      </c>
      <c r="B432" s="814" t="str">
        <f>'ADMININSTRACIÓN DIR - OBRA'!B434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'ADMININSTRACIÓN DIR - OBRA'!G435</f>
        <v>OBRA</v>
      </c>
      <c r="B433" s="814" t="str">
        <f>'ADMININSTRACIÓN DIR - OBRA'!B435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tr">
        <f>'ADMININSTRACIÓN DIR - OBRA'!G436</f>
        <v>SERVICIO</v>
      </c>
      <c r="B434" s="814" t="str">
        <f>'ADMININSTRACIÓN DIR - OBRA'!B436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tr">
        <f>'ADMININSTRACIÓN DIR - OBRA'!G437</f>
        <v>SERVICIO</v>
      </c>
      <c r="B435" s="814" t="str">
        <f>'ADMININSTRACIÓN DIR - OBRA'!B437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tr">
        <f>'ADMININSTRACIÓN DIR - OBRA'!G438</f>
        <v>SERVICIO</v>
      </c>
      <c r="B436" s="814" t="str">
        <f>'ADMININSTRACIÓN DIR - OBRA'!B438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tr">
        <f>'ADMININSTRACIÓN DIR - OBRA'!G439</f>
        <v>SERVICIO</v>
      </c>
      <c r="B437" s="814" t="str">
        <f>'ADMININSTRACIÓN DIR - OBRA'!B439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tr">
        <f>'ADMININSTRACIÓN DIR - OBRA'!G440</f>
        <v>SERVICIO</v>
      </c>
      <c r="B438" s="814" t="str">
        <f>'ADMININSTRACIÓN DIR - OBRA'!B440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tr">
        <f>'ADMININSTRACIÓN DIR - OBRA'!G441</f>
        <v>SERVICIO</v>
      </c>
      <c r="B439" s="814" t="str">
        <f>'ADMININSTRACIÓN DIR - OBRA'!B441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tr">
        <f>'ADMININSTRACIÓN DIR - OBRA'!G442</f>
        <v>SERVICIO</v>
      </c>
      <c r="B440" s="814" t="str">
        <f>'ADMININSTRACIÓN DIR - OBRA'!B442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tr">
        <f>'ADMININSTRACIÓN DIR - OBRA'!G443</f>
        <v>SERVICIO</v>
      </c>
      <c r="B441" s="814" t="str">
        <f>'ADMININSTRACIÓN DIR - OBRA'!B443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tr">
        <f>'ADMININSTRACIÓN DIR - OBRA'!G444</f>
        <v>SERVICIO</v>
      </c>
      <c r="B442" s="814" t="str">
        <f>'ADMININSTRACIÓN DIR - OBRA'!B444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tr">
        <f>'ADMININSTRACIÓN DIR - OBRA'!G445</f>
        <v>SERVICIO</v>
      </c>
      <c r="B443" s="814" t="str">
        <f>'ADMININSTRACIÓN DIR - OBRA'!B445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tr">
        <f>'ADMININSTRACIÓN DIR - OBRA'!G446</f>
        <v>SERVICIO</v>
      </c>
      <c r="B444" s="814" t="str">
        <f>'ADMININSTRACIÓN DIR - OBRA'!B446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tr">
        <f>'ADMININSTRACIÓN DIR - OBRA'!G447</f>
        <v>SERVICIO</v>
      </c>
      <c r="B445" s="814" t="str">
        <f>'ADMININSTRACIÓN DIR - OBRA'!B447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tr">
        <f>'ADMININSTRACIÓN DIR - OBRA'!G448</f>
        <v>SERVICIO</v>
      </c>
      <c r="B446" s="814" t="str">
        <f>'ADMININSTRACIÓN DIR - OBRA'!B448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tr">
        <f>'ADMININSTRACIÓN DIR - OBRA'!G449</f>
        <v>SERVICIO</v>
      </c>
      <c r="B447" s="814" t="str">
        <f>'ADMININSTRACIÓN DIR - OBRA'!B449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tr">
        <f>'ADMININSTRACIÓN DIR - OBRA'!G450</f>
        <v>SERVICIO</v>
      </c>
      <c r="B448" s="814" t="str">
        <f>'ADMININSTRACIÓN DIR - OBRA'!B450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tr">
        <f>'ADMININSTRACIÓN DIR - OBRA'!G451</f>
        <v>SERVICIO</v>
      </c>
      <c r="B449" s="814" t="str">
        <f>'ADMININSTRACIÓN DIR - OBRA'!B451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tr">
        <f>'ADMININSTRACIÓN DIR - OBRA'!G452</f>
        <v>SERVICIO</v>
      </c>
      <c r="B450" s="814" t="str">
        <f>'ADMININSTRACIÓN DIR - OBRA'!B452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tr">
        <f>'ADMININSTRACIÓN DIR - OBRA'!G453</f>
        <v>SERVICIO</v>
      </c>
      <c r="B451" s="814" t="str">
        <f>'ADMININSTRACIÓN DIR - OBRA'!B453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tr">
        <f>'ADMININSTRACIÓN DIR - OBRA'!G454</f>
        <v>SERVICIO</v>
      </c>
      <c r="B452" s="814" t="str">
        <f>'ADMININSTRACIÓN DIR - OBRA'!B454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'ADMININSTRACIÓN DIR - OBRA'!G455</f>
        <v>OBRA</v>
      </c>
      <c r="B453" s="814" t="str">
        <f>'ADMININSTRACIÓN DIR - OBRA'!B455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'ADMININSTRACIÓN DIR - OBRA'!G456</f>
        <v>OBRA</v>
      </c>
      <c r="B454" s="814" t="str">
        <f>'ADMININSTRACIÓN DIR - OBRA'!B456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tr">
        <f>'ADMININSTRACIÓN DIR - OBRA'!G457</f>
        <v>SERVICIO</v>
      </c>
      <c r="B455" s="814" t="str">
        <f>'ADMININSTRACIÓN DIR - OBRA'!B457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5623</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tr">
        <f>'ADMININSTRACIÓN DIR - OBRA'!G458</f>
        <v>SERVICIO</v>
      </c>
      <c r="B456" s="814" t="str">
        <f>'ADMININSTRACIÓN DIR - OBRA'!B458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3730</v>
      </c>
      <c r="O456" s="505"/>
      <c r="P456" s="67">
        <f>OBRA!T456</f>
        <v>44275</v>
      </c>
      <c r="Q456" s="4">
        <f>OBRA!S456</f>
        <v>139246.39999999999</v>
      </c>
      <c r="R456" s="4" t="s">
        <v>67</v>
      </c>
      <c r="S456" s="5">
        <f>OBRA!U456</f>
        <v>44287</v>
      </c>
      <c r="T456" s="11">
        <f>OBRA!V456</f>
        <v>44289</v>
      </c>
      <c r="U456" s="1381" t="s">
        <v>5623</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'ADMININSTRACIÓN DIR - OBRA'!G459</f>
        <v>OBRA</v>
      </c>
      <c r="B457" s="814" t="str">
        <f>'ADMININSTRACIÓN DIR - OBRA'!B459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3730</v>
      </c>
      <c r="O457" s="505"/>
      <c r="P457" s="67">
        <f>OBRA!T457</f>
        <v>0</v>
      </c>
      <c r="Q457" s="4">
        <f>OBRA!S457</f>
        <v>0</v>
      </c>
      <c r="R457" s="4"/>
      <c r="S457" s="5">
        <f>OBRA!U457</f>
        <v>0</v>
      </c>
      <c r="T457" s="11">
        <f>OBRA!V457</f>
        <v>0</v>
      </c>
      <c r="U457" s="208" t="s">
        <v>3818</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tr">
        <f>'ADMININSTRACIÓN DIR - OBRA'!G461</f>
        <v>SERVICIO</v>
      </c>
      <c r="B458" s="814" t="str">
        <f>'ADMININSTRACIÓN DIR - OBRA'!B461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3730</v>
      </c>
      <c r="O458" s="505"/>
      <c r="P458" s="67">
        <f>OBRA!T458</f>
        <v>43979</v>
      </c>
      <c r="Q458" s="79">
        <f>OBRA!S458</f>
        <v>25520</v>
      </c>
      <c r="R458" s="4" t="s">
        <v>67</v>
      </c>
      <c r="S458" s="5" t="str">
        <f>OBRA!U458</f>
        <v>NO APLICA</v>
      </c>
      <c r="T458" s="11" t="str">
        <f>OBRA!V458</f>
        <v>NO APLICA</v>
      </c>
      <c r="U458" s="1381" t="s">
        <v>5623</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tr">
        <f>'ADMININSTRACIÓN DIR - OBRA'!G462</f>
        <v>SERVICIO</v>
      </c>
      <c r="B459" s="814" t="str">
        <f>'ADMININSTRACIÓN DIR - OBRA'!B462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3730</v>
      </c>
      <c r="O459" s="505"/>
      <c r="P459" s="67">
        <f>OBRA!T459</f>
        <v>43979</v>
      </c>
      <c r="Q459" s="79">
        <f>OBRA!S459</f>
        <v>36772</v>
      </c>
      <c r="R459" s="4" t="s">
        <v>67</v>
      </c>
      <c r="S459" s="5" t="str">
        <f>OBRA!U459</f>
        <v>NO APLICA</v>
      </c>
      <c r="T459" s="11" t="str">
        <f>OBRA!V459</f>
        <v>NO APLICA</v>
      </c>
      <c r="U459" s="1381" t="s">
        <v>5623</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tr">
        <f>'ADMININSTRACIÓN DIR - OBRA'!G463</f>
        <v>SERVICIO</v>
      </c>
      <c r="B460" s="814" t="str">
        <f>'ADMININSTRACIÓN DIR - OBRA'!B463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3730</v>
      </c>
      <c r="O460" s="505"/>
      <c r="P460" s="67">
        <f>OBRA!T460</f>
        <v>43979</v>
      </c>
      <c r="Q460" s="79">
        <f>OBRA!S460</f>
        <v>18096</v>
      </c>
      <c r="R460" s="4" t="s">
        <v>67</v>
      </c>
      <c r="S460" s="5" t="str">
        <f>OBRA!U460</f>
        <v>NO APLICA</v>
      </c>
      <c r="T460" s="11" t="str">
        <f>OBRA!V460</f>
        <v>NO APLICA</v>
      </c>
      <c r="U460" s="1381" t="s">
        <v>5623</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tr">
        <f>'ADMININSTRACIÓN DIR - OBRA'!G464</f>
        <v>SERVICIO</v>
      </c>
      <c r="B461" s="814" t="str">
        <f>'ADMININSTRACIÓN DIR - OBRA'!B464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3730</v>
      </c>
      <c r="O461" s="505"/>
      <c r="P461" s="67">
        <f>OBRA!T461</f>
        <v>43979</v>
      </c>
      <c r="Q461" s="79">
        <f>OBRA!S461</f>
        <v>22772</v>
      </c>
      <c r="R461" s="4" t="s">
        <v>67</v>
      </c>
      <c r="S461" s="5" t="str">
        <f>OBRA!U461</f>
        <v>NO APLICA</v>
      </c>
      <c r="T461" s="11" t="str">
        <f>OBRA!V461</f>
        <v>NO APLICA</v>
      </c>
      <c r="U461" s="1381" t="s">
        <v>5623</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tr">
        <f>'ADMININSTRACIÓN DIR - OBRA'!G465</f>
        <v>SERVICIO</v>
      </c>
      <c r="B462" s="814" t="str">
        <f>'ADMININSTRACIÓN DIR - OBRA'!B465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3730</v>
      </c>
      <c r="O462" s="505"/>
      <c r="P462" s="67">
        <f>OBRA!T462</f>
        <v>43979</v>
      </c>
      <c r="Q462" s="79">
        <f>OBRA!S462</f>
        <v>22772</v>
      </c>
      <c r="R462" s="4" t="s">
        <v>67</v>
      </c>
      <c r="S462" s="5" t="str">
        <f>OBRA!U462</f>
        <v>NO APLICA</v>
      </c>
      <c r="T462" s="11" t="str">
        <f>OBRA!V462</f>
        <v>NO APLICA</v>
      </c>
      <c r="U462" s="1381" t="s">
        <v>5623</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tr">
        <f>'ADMININSTRACIÓN DIR - OBRA'!G466</f>
        <v>SERVICIO</v>
      </c>
      <c r="B463" s="814" t="str">
        <f>'ADMININSTRACIÓN DIR - OBRA'!B466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3730</v>
      </c>
      <c r="O463" s="505"/>
      <c r="P463" s="67">
        <f>OBRA!T463</f>
        <v>44050</v>
      </c>
      <c r="Q463" s="79">
        <f>OBRA!S463</f>
        <v>17400</v>
      </c>
      <c r="R463" s="4" t="s">
        <v>67</v>
      </c>
      <c r="S463" s="5">
        <f>OBRA!U463</f>
        <v>44050</v>
      </c>
      <c r="T463" s="11">
        <f>OBRA!V463</f>
        <v>44055</v>
      </c>
      <c r="U463" s="1381" t="s">
        <v>5623</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tr">
        <f>'ADMININSTRACIÓN DIR - OBRA'!G467</f>
        <v>SERVICIO</v>
      </c>
      <c r="B464" s="814" t="str">
        <f>'ADMININSTRACIÓN DIR - OBRA'!B467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3730</v>
      </c>
      <c r="O464" s="505"/>
      <c r="P464" s="67">
        <f>OBRA!T464</f>
        <v>44026</v>
      </c>
      <c r="Q464" s="79">
        <f>OBRA!S464</f>
        <v>34046</v>
      </c>
      <c r="R464" s="4" t="s">
        <v>67</v>
      </c>
      <c r="S464" s="5" t="str">
        <f>OBRA!U464</f>
        <v>NO APLICA</v>
      </c>
      <c r="T464" s="11" t="str">
        <f>OBRA!V464</f>
        <v>NO APLICA</v>
      </c>
      <c r="U464" s="1381" t="s">
        <v>5623</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tr">
        <f>'ADMININSTRACIÓN DIR - OBRA'!G468</f>
        <v>SERVICIO</v>
      </c>
      <c r="B465" s="814" t="str">
        <f>'ADMININSTRACIÓN DIR - OBRA'!B468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3731</v>
      </c>
      <c r="O465" s="505"/>
      <c r="P465" s="6">
        <f>OBRA!T465</f>
        <v>44454</v>
      </c>
      <c r="Q465" s="4">
        <f>OBRA!S465</f>
        <v>4059.9999999999995</v>
      </c>
      <c r="R465" s="4" t="s">
        <v>67</v>
      </c>
      <c r="S465" s="5" t="str">
        <f>OBRA!U465</f>
        <v>NO APLICA</v>
      </c>
      <c r="T465" s="11" t="str">
        <f>OBRA!V465</f>
        <v>NO APLICA</v>
      </c>
      <c r="U465" s="1381" t="s">
        <v>5623</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tr">
        <f>'ADMININSTRACIÓN DIR - OBRA'!G469</f>
        <v>SERVICIO</v>
      </c>
      <c r="B466" s="814" t="str">
        <f>'ADMININSTRACIÓN DIR - OBRA'!B469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3731</v>
      </c>
      <c r="O466" s="505"/>
      <c r="P466" s="6">
        <f>OBRA!T466</f>
        <v>44082</v>
      </c>
      <c r="Q466" s="4">
        <f>OBRA!S466</f>
        <v>139246</v>
      </c>
      <c r="R466" s="4" t="s">
        <v>67</v>
      </c>
      <c r="S466" s="5">
        <f>OBRA!U466</f>
        <v>44088</v>
      </c>
      <c r="T466" s="11">
        <f>OBRA!V466</f>
        <v>44094</v>
      </c>
      <c r="U466" s="1381" t="s">
        <v>5623</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tr">
        <f>'ADMININSTRACIÓN DIR - OBRA'!G470</f>
        <v>SERVICIO</v>
      </c>
      <c r="B467" s="814" t="str">
        <f>'ADMININSTRACIÓN DIR - OBRA'!B470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3731</v>
      </c>
      <c r="O467" s="505"/>
      <c r="P467" s="6">
        <f>OBRA!T467</f>
        <v>44081</v>
      </c>
      <c r="Q467" s="4">
        <f>OBRA!S467</f>
        <v>139246</v>
      </c>
      <c r="R467" s="4" t="s">
        <v>67</v>
      </c>
      <c r="S467" s="5">
        <f>OBRA!U467</f>
        <v>44082</v>
      </c>
      <c r="T467" s="11">
        <f>OBRA!V467</f>
        <v>44086</v>
      </c>
      <c r="U467" s="1381" t="s">
        <v>5623</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tr">
        <f>'ADMININSTRACIÓN DIR - OBRA'!G471</f>
        <v>SERVICIO</v>
      </c>
      <c r="B468" s="814" t="str">
        <f>'ADMININSTRACIÓN DIR - OBRA'!B471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3731</v>
      </c>
      <c r="O468" s="505"/>
      <c r="P468" s="6">
        <f>OBRA!T468</f>
        <v>44075</v>
      </c>
      <c r="Q468" s="4">
        <f>OBRA!S468</f>
        <v>32944</v>
      </c>
      <c r="R468" s="4" t="s">
        <v>67</v>
      </c>
      <c r="S468" s="5" t="str">
        <f>OBRA!U468</f>
        <v>NO APLICA</v>
      </c>
      <c r="T468" s="11" t="str">
        <f>OBRA!V468</f>
        <v>NO APLICA</v>
      </c>
      <c r="U468" s="1381" t="s">
        <v>5623</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tr">
        <f>'ADMININSTRACIÓN DIR - OBRA'!G472</f>
        <v>SERVICIO</v>
      </c>
      <c r="B469" s="814" t="str">
        <f>'ADMININSTRACIÓN DIR - OBRA'!B472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3731</v>
      </c>
      <c r="O469" s="505"/>
      <c r="P469" s="6">
        <f>OBRA!T469</f>
        <v>44075</v>
      </c>
      <c r="Q469" s="4">
        <f>OBRA!S469</f>
        <v>25520</v>
      </c>
      <c r="R469" s="4" t="s">
        <v>67</v>
      </c>
      <c r="S469" s="5" t="str">
        <f>OBRA!U469</f>
        <v>NO APLICA</v>
      </c>
      <c r="T469" s="11" t="str">
        <f>OBRA!V469</f>
        <v>NO APLICA</v>
      </c>
      <c r="U469" s="1381" t="s">
        <v>5623</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tr">
        <f>'ADMININSTRACIÓN DIR - OBRA'!G473</f>
        <v>SERVICIO</v>
      </c>
      <c r="B470" s="814" t="str">
        <f>'ADMININSTRACIÓN DIR - OBRA'!B473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3731</v>
      </c>
      <c r="O470" s="505"/>
      <c r="P470" s="6">
        <f>OBRA!T470</f>
        <v>44124</v>
      </c>
      <c r="Q470" s="4">
        <f>OBRA!S470</f>
        <v>36656</v>
      </c>
      <c r="R470" s="4" t="s">
        <v>67</v>
      </c>
      <c r="S470" s="5" t="str">
        <f>OBRA!U470</f>
        <v>NO APLICA</v>
      </c>
      <c r="T470" s="11" t="str">
        <f>OBRA!V470</f>
        <v>NO APLICA</v>
      </c>
      <c r="U470" s="1381" t="s">
        <v>5623</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tr">
        <f>'ADMININSTRACIÓN DIR - OBRA'!G474</f>
        <v>SERVICIO</v>
      </c>
      <c r="B471" s="814" t="str">
        <f>'ADMININSTRACIÓN DIR - OBRA'!B474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3731</v>
      </c>
      <c r="O471" s="505"/>
      <c r="P471" s="67">
        <f>OBRA!T471</f>
        <v>44089</v>
      </c>
      <c r="Q471" s="79">
        <f>OBRA!S471</f>
        <v>4059.9999999999995</v>
      </c>
      <c r="R471" s="4" t="s">
        <v>67</v>
      </c>
      <c r="S471" s="5" t="str">
        <f>OBRA!U471</f>
        <v>-</v>
      </c>
      <c r="T471" s="11" t="str">
        <f>OBRA!V471</f>
        <v>-</v>
      </c>
      <c r="U471" s="1381" t="s">
        <v>5623</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tr">
        <f>'ADMININSTRACIÓN DIR - OBRA'!G475</f>
        <v>SERVICIO</v>
      </c>
      <c r="B472" s="814" t="str">
        <f>'ADMININSTRACIÓN DIR - OBRA'!B475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3731</v>
      </c>
      <c r="O472" s="505"/>
      <c r="P472" s="67">
        <f>OBRA!T472</f>
        <v>44089</v>
      </c>
      <c r="Q472" s="79">
        <f>OBRA!S472</f>
        <v>20880</v>
      </c>
      <c r="R472" s="4" t="s">
        <v>67</v>
      </c>
      <c r="S472" s="5" t="str">
        <f>OBRA!U472</f>
        <v>-</v>
      </c>
      <c r="T472" s="11" t="str">
        <f>OBRA!V472</f>
        <v>-</v>
      </c>
      <c r="U472" s="1381" t="s">
        <v>5623</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tr">
        <f>'ADMININSTRACIÓN DIR - OBRA'!G476</f>
        <v>SERVICIO</v>
      </c>
      <c r="B473" s="814" t="str">
        <f>'ADMININSTRACIÓN DIR - OBRA'!B476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3731</v>
      </c>
      <c r="O473" s="505"/>
      <c r="P473" s="67">
        <f>OBRA!T473</f>
        <v>44089</v>
      </c>
      <c r="Q473" s="79">
        <f>OBRA!S473</f>
        <v>5800</v>
      </c>
      <c r="R473" s="4" t="s">
        <v>67</v>
      </c>
      <c r="S473" s="5" t="str">
        <f>OBRA!U473</f>
        <v>-</v>
      </c>
      <c r="T473" s="11" t="str">
        <f>OBRA!V473</f>
        <v>-</v>
      </c>
      <c r="U473" s="1381" t="s">
        <v>5623</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tr">
        <f>'ADMININSTRACIÓN DIR - OBRA'!G477</f>
        <v>SERVICIO</v>
      </c>
      <c r="B474" s="814" t="str">
        <f>'ADMININSTRACIÓN DIR - OBRA'!B477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3731</v>
      </c>
      <c r="O474" s="505"/>
      <c r="P474" s="67">
        <f>OBRA!T474</f>
        <v>44089</v>
      </c>
      <c r="Q474" s="79">
        <f>OBRA!S474</f>
        <v>5220</v>
      </c>
      <c r="R474" s="4" t="s">
        <v>67</v>
      </c>
      <c r="S474" s="5" t="str">
        <f>OBRA!U474</f>
        <v>-</v>
      </c>
      <c r="T474" s="11" t="str">
        <f>OBRA!V474</f>
        <v>-</v>
      </c>
      <c r="U474" s="1381" t="s">
        <v>5623</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tr">
        <f>'ADMININSTRACIÓN DIR - OBRA'!G478</f>
        <v>SERVICIO</v>
      </c>
      <c r="B475" s="814" t="str">
        <f>'ADMININSTRACIÓN DIR - OBRA'!B478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3732</v>
      </c>
      <c r="O475" s="505"/>
      <c r="P475" s="67">
        <f>OBRA!T475</f>
        <v>44089</v>
      </c>
      <c r="Q475" s="79">
        <f>OBRA!S475</f>
        <v>5800</v>
      </c>
      <c r="R475" s="4" t="s">
        <v>67</v>
      </c>
      <c r="S475" s="5" t="str">
        <f>OBRA!U475</f>
        <v>-</v>
      </c>
      <c r="T475" s="11" t="str">
        <f>OBRA!V475</f>
        <v>-</v>
      </c>
      <c r="U475" s="1381" t="s">
        <v>5623</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tr">
        <f>'ADMININSTRACIÓN DIR - OBRA'!G479</f>
        <v>SERVICIO</v>
      </c>
      <c r="B476" s="814" t="str">
        <f>'ADMININSTRACIÓN DIR - OBRA'!B479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3732</v>
      </c>
      <c r="O476" s="505"/>
      <c r="P476" s="67">
        <f>OBRA!T476</f>
        <v>44089</v>
      </c>
      <c r="Q476" s="79">
        <f>OBRA!S476</f>
        <v>5220</v>
      </c>
      <c r="R476" s="4" t="s">
        <v>67</v>
      </c>
      <c r="S476" s="5" t="str">
        <f>OBRA!U476</f>
        <v>-</v>
      </c>
      <c r="T476" s="11" t="str">
        <f>OBRA!V476</f>
        <v>-</v>
      </c>
      <c r="U476" s="1381" t="s">
        <v>5623</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tr">
        <f>'ADMININSTRACIÓN DIR - OBRA'!G480</f>
        <v>SERVICIO</v>
      </c>
      <c r="B477" s="814" t="str">
        <f>'ADMININSTRACIÓN DIR - OBRA'!B480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3732</v>
      </c>
      <c r="O477" s="505"/>
      <c r="P477" s="67">
        <f>OBRA!T477</f>
        <v>44089</v>
      </c>
      <c r="Q477" s="79">
        <f>OBRA!S477</f>
        <v>1739.9999999999998</v>
      </c>
      <c r="R477" s="4" t="s">
        <v>67</v>
      </c>
      <c r="S477" s="5" t="str">
        <f>OBRA!U477</f>
        <v>-</v>
      </c>
      <c r="T477" s="11" t="str">
        <f>OBRA!V477</f>
        <v>-</v>
      </c>
      <c r="U477" s="1381" t="s">
        <v>5623</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tr">
        <f>'ADMININSTRACIÓN DIR - OBRA'!G481</f>
        <v>SERVICIO</v>
      </c>
      <c r="B478" s="814" t="str">
        <f>'ADMININSTRACIÓN DIR - OBRA'!B481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3732</v>
      </c>
      <c r="O478" s="505"/>
      <c r="P478" s="67">
        <f>OBRA!T478</f>
        <v>44089</v>
      </c>
      <c r="Q478" s="79">
        <f>OBRA!S478</f>
        <v>2900</v>
      </c>
      <c r="R478" s="4" t="s">
        <v>67</v>
      </c>
      <c r="S478" s="5" t="str">
        <f>OBRA!U478</f>
        <v>-</v>
      </c>
      <c r="T478" s="11" t="str">
        <f>OBRA!V478</f>
        <v>-</v>
      </c>
      <c r="U478" s="1381" t="s">
        <v>5623</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tr">
        <f>'ADMININSTRACIÓN DIR - OBRA'!G482</f>
        <v>SERVICIO</v>
      </c>
      <c r="B479" s="814" t="str">
        <f>'ADMININSTRACIÓN DIR - OBRA'!B482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3732</v>
      </c>
      <c r="O479" s="505"/>
      <c r="P479" s="67">
        <f>OBRA!T479</f>
        <v>44089</v>
      </c>
      <c r="Q479" s="79">
        <f>OBRA!S479</f>
        <v>2900</v>
      </c>
      <c r="R479" s="4" t="s">
        <v>67</v>
      </c>
      <c r="S479" s="5" t="str">
        <f>OBRA!U479</f>
        <v>-</v>
      </c>
      <c r="T479" s="11" t="str">
        <f>OBRA!V479</f>
        <v>-</v>
      </c>
      <c r="U479" s="1381" t="s">
        <v>5623</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tr">
        <f>'ADMININSTRACIÓN DIR - OBRA'!G483</f>
        <v>SERVICIO</v>
      </c>
      <c r="B480" s="814" t="str">
        <f>'ADMININSTRACIÓN DIR - OBRA'!B483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3732</v>
      </c>
      <c r="O480" s="505"/>
      <c r="P480" s="67">
        <f>OBRA!T480</f>
        <v>44089</v>
      </c>
      <c r="Q480" s="79">
        <f>OBRA!S480</f>
        <v>4059.9999999999995</v>
      </c>
      <c r="R480" s="4" t="s">
        <v>67</v>
      </c>
      <c r="S480" s="5" t="str">
        <f>OBRA!U480</f>
        <v>-</v>
      </c>
      <c r="T480" s="11" t="str">
        <f>OBRA!V480</f>
        <v>-</v>
      </c>
      <c r="U480" s="1381" t="s">
        <v>5623</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tr">
        <f>'ADMININSTRACIÓN DIR - OBRA'!G484</f>
        <v>SERVICIO</v>
      </c>
      <c r="B481" s="814" t="str">
        <f>'ADMININSTRACIÓN DIR - OBRA'!B484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3732</v>
      </c>
      <c r="O481" s="505"/>
      <c r="P481" s="67">
        <f>OBRA!T481</f>
        <v>44089</v>
      </c>
      <c r="Q481" s="79">
        <f>OBRA!S481</f>
        <v>3711.9999999999995</v>
      </c>
      <c r="R481" s="4" t="s">
        <v>67</v>
      </c>
      <c r="S481" s="5" t="str">
        <f>OBRA!U481</f>
        <v>-</v>
      </c>
      <c r="T481" s="11" t="str">
        <f>OBRA!V481</f>
        <v>-</v>
      </c>
      <c r="U481" s="1381" t="s">
        <v>5623</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tr">
        <f>'ADMININSTRACIÓN DIR - OBRA'!G485</f>
        <v>OBRA</v>
      </c>
      <c r="B482" s="814" t="str">
        <f>'ADMININSTRACIÓN DIR - OBRA'!B485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3732</v>
      </c>
      <c r="O482" s="505"/>
      <c r="P482" s="67">
        <f>OBRA!T482</f>
        <v>44089</v>
      </c>
      <c r="Q482" s="79">
        <f>OBRA!S482</f>
        <v>9860</v>
      </c>
      <c r="R482" s="4" t="s">
        <v>67</v>
      </c>
      <c r="S482" s="5" t="str">
        <f>OBRA!U482</f>
        <v>-</v>
      </c>
      <c r="T482" s="11" t="str">
        <f>OBRA!V482</f>
        <v>-</v>
      </c>
      <c r="U482" s="1381" t="s">
        <v>5623</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tr">
        <f>'ADMININSTRACIÓN DIR - OBRA'!G486</f>
        <v>SERVICIO</v>
      </c>
      <c r="B483" s="814" t="str">
        <f>'ADMININSTRACIÓN DIR - OBRA'!B486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tr">
        <f>'ADMININSTRACIÓN DIR - OBRA'!G487</f>
        <v>SERVICIO</v>
      </c>
      <c r="B484" s="814" t="str">
        <f>'ADMININSTRACIÓN DIR - OBRA'!B487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3732</v>
      </c>
      <c r="O484" s="505"/>
      <c r="P484" s="67">
        <f>OBRA!T484</f>
        <v>44089</v>
      </c>
      <c r="Q484" s="79">
        <f>OBRA!S484</f>
        <v>9280</v>
      </c>
      <c r="R484" s="4" t="s">
        <v>67</v>
      </c>
      <c r="S484" s="5" t="str">
        <f>OBRA!U484</f>
        <v>-</v>
      </c>
      <c r="T484" s="11" t="str">
        <f>OBRA!V484</f>
        <v>-</v>
      </c>
      <c r="U484" s="1381" t="s">
        <v>5623</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tr">
        <f>'ADMININSTRACIÓN DIR - OBRA'!G488</f>
        <v>SERVICIO</v>
      </c>
      <c r="B485" s="814" t="str">
        <f>'ADMININSTRACIÓN DIR - OBRA'!B488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3732</v>
      </c>
      <c r="O485" s="505"/>
      <c r="P485" s="67">
        <f>OBRA!T485</f>
        <v>44089</v>
      </c>
      <c r="Q485" s="79">
        <f>OBRA!S485</f>
        <v>5220</v>
      </c>
      <c r="R485" s="4" t="s">
        <v>67</v>
      </c>
      <c r="S485" s="5" t="str">
        <f>OBRA!U485</f>
        <v>-</v>
      </c>
      <c r="T485" s="11" t="str">
        <f>OBRA!V485</f>
        <v>-</v>
      </c>
      <c r="U485" s="1381" t="s">
        <v>5623</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tr">
        <f>'ADMININSTRACIÓN DIR - OBRA'!G489</f>
        <v>SERVICIO</v>
      </c>
      <c r="B486" s="814" t="str">
        <f>'ADMININSTRACIÓN DIR - OBRA'!B489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3732</v>
      </c>
      <c r="O486" s="505"/>
      <c r="P486" s="67">
        <f>OBRA!T486</f>
        <v>44089</v>
      </c>
      <c r="Q486" s="79">
        <f>OBRA!S486</f>
        <v>9860</v>
      </c>
      <c r="R486" s="4" t="s">
        <v>67</v>
      </c>
      <c r="S486" s="5" t="str">
        <f>OBRA!U486</f>
        <v>-</v>
      </c>
      <c r="T486" s="11" t="str">
        <f>OBRA!V486</f>
        <v>-</v>
      </c>
      <c r="U486" s="1381" t="s">
        <v>5623</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tr">
        <f>'ADMININSTRACIÓN DIR - OBRA'!G490</f>
        <v>OBRA</v>
      </c>
      <c r="B487" s="814" t="str">
        <f>'ADMININSTRACIÓN DIR - OBRA'!B490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3732</v>
      </c>
      <c r="O487" s="505"/>
      <c r="P487" s="67">
        <f>OBRA!T487</f>
        <v>44089</v>
      </c>
      <c r="Q487" s="79">
        <f>OBRA!S487</f>
        <v>4059.9999999999995</v>
      </c>
      <c r="R487" s="4" t="s">
        <v>67</v>
      </c>
      <c r="S487" s="5" t="str">
        <f>OBRA!U487</f>
        <v>-</v>
      </c>
      <c r="T487" s="11" t="str">
        <f>OBRA!V487</f>
        <v>-</v>
      </c>
      <c r="U487" s="1381" t="s">
        <v>5623</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'ADMININSTRACIÓN DIR - OBRA'!G491</f>
        <v>OBRA</v>
      </c>
      <c r="B488" s="814" t="str">
        <f>'ADMININSTRACIÓN DIR - OBRA'!B491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3505</v>
      </c>
      <c r="O488" s="505"/>
      <c r="P488" s="6">
        <f>OBRA!T488</f>
        <v>43894</v>
      </c>
      <c r="Q488" s="4">
        <f>OBRA!S488</f>
        <v>156714.98000000001</v>
      </c>
      <c r="R488" s="4"/>
      <c r="S488" s="5">
        <f>OBRA!U488</f>
        <v>43894</v>
      </c>
      <c r="T488" s="11">
        <f>OBRA!V488</f>
        <v>43960</v>
      </c>
      <c r="U488" s="208" t="s">
        <v>3818</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'ADMININSTRACIÓN DIR - OBRA'!G492</f>
        <v>OBRA</v>
      </c>
      <c r="B489" s="814" t="str">
        <f>'ADMININSTRACIÓN DIR - OBRA'!B492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3505</v>
      </c>
      <c r="O489" s="505"/>
      <c r="P489" s="67">
        <f>OBRA!T489</f>
        <v>43936</v>
      </c>
      <c r="Q489" s="79">
        <f>OBRA!S489</f>
        <v>654632.78</v>
      </c>
      <c r="R489" s="79"/>
      <c r="S489" s="5">
        <f>OBRA!U489</f>
        <v>43937</v>
      </c>
      <c r="T489" s="11">
        <f>OBRA!V489</f>
        <v>43958</v>
      </c>
      <c r="U489" s="208" t="s">
        <v>3818</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'ADMININSTRACIÓN DIR - OBRA'!G493</f>
        <v>OBRA</v>
      </c>
      <c r="B490" s="814" t="str">
        <f>'ADMININSTRACIÓN DIR - OBRA'!B493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3505</v>
      </c>
      <c r="O490" s="505"/>
      <c r="P490" s="67">
        <f>OBRA!T490</f>
        <v>43948</v>
      </c>
      <c r="Q490" s="79">
        <f>OBRA!S490</f>
        <v>248927.96</v>
      </c>
      <c r="R490" s="79"/>
      <c r="S490" s="5">
        <f>OBRA!U490</f>
        <v>43949</v>
      </c>
      <c r="T490" s="11">
        <f>OBRA!V490</f>
        <v>43980</v>
      </c>
      <c r="U490" s="208" t="s">
        <v>3818</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'ADMININSTRACIÓN DIR - OBRA'!G494</f>
        <v>OBRA</v>
      </c>
      <c r="B491" s="814" t="str">
        <f>'ADMININSTRACIÓN DIR - OBRA'!B494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3505</v>
      </c>
      <c r="O491" s="505"/>
      <c r="P491" s="196">
        <f>OBRA!T491</f>
        <v>43951</v>
      </c>
      <c r="Q491" s="63">
        <f>OBRA!S491</f>
        <v>1010980.5</v>
      </c>
      <c r="R491" s="63"/>
      <c r="S491" s="475">
        <f>OBRA!U491</f>
        <v>43962</v>
      </c>
      <c r="T491" s="510">
        <f>OBRA!V491</f>
        <v>44054</v>
      </c>
      <c r="U491" s="208" t="s">
        <v>3818</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'ADMININSTRACIÓN DIR - OBRA'!G495</f>
        <v>OBRA</v>
      </c>
      <c r="B492" s="814" t="str">
        <f>'ADMININSTRACIÓN DIR - OBRA'!B495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3505</v>
      </c>
      <c r="O492" s="505"/>
      <c r="P492" s="196">
        <f>OBRA!T492</f>
        <v>43948</v>
      </c>
      <c r="Q492" s="63">
        <f>OBRA!S492</f>
        <v>125624.96000000001</v>
      </c>
      <c r="R492" s="63"/>
      <c r="S492" s="475">
        <f>OBRA!U492</f>
        <v>43949</v>
      </c>
      <c r="T492" s="510">
        <f>OBRA!V492</f>
        <v>43980</v>
      </c>
      <c r="U492" s="208" t="s">
        <v>3818</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'ADMININSTRACIÓN DIR - OBRA'!G496</f>
        <v>OBRA</v>
      </c>
      <c r="B493" s="814" t="str">
        <f>'ADMININSTRACIÓN DIR - OBRA'!B496</f>
        <v>2018-2021</v>
      </c>
      <c r="C493" s="16">
        <f>OBRA!K493</f>
        <v>2020</v>
      </c>
      <c r="D493" s="17" t="str">
        <f>OBRA!N493</f>
        <v>RAMO 33</v>
      </c>
      <c r="E493" s="479" t="s">
        <v>1427</v>
      </c>
      <c r="F493" s="503" t="s">
        <v>3527</v>
      </c>
      <c r="G493" s="527" t="s">
        <v>3527</v>
      </c>
      <c r="H493" s="503" t="s">
        <v>3527</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3505</v>
      </c>
      <c r="O493" s="505"/>
      <c r="P493" s="67">
        <f>OBRA!T493</f>
        <v>43977</v>
      </c>
      <c r="Q493" s="79">
        <f>OBRA!S493</f>
        <v>965741.4</v>
      </c>
      <c r="R493" s="79"/>
      <c r="S493" s="5">
        <f>OBRA!U493</f>
        <v>43984</v>
      </c>
      <c r="T493" s="11">
        <f>OBRA!V493</f>
        <v>44040</v>
      </c>
      <c r="U493" s="53"/>
      <c r="V493" s="62" t="s">
        <v>1427</v>
      </c>
      <c r="W493" s="500" t="s">
        <v>3527</v>
      </c>
      <c r="X493" s="589" t="s">
        <v>3527</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'ADMININSTRACIÓN DIR - OBRA'!G497</f>
        <v>OBRA</v>
      </c>
      <c r="B494" s="814" t="str">
        <f>'ADMININSTRACIÓN DIR - OBRA'!B497</f>
        <v>2018-2021</v>
      </c>
      <c r="C494" s="16">
        <f>OBRA!K494</f>
        <v>2020</v>
      </c>
      <c r="D494" s="17" t="str">
        <f>OBRA!N494</f>
        <v>RAMO 33</v>
      </c>
      <c r="E494" s="479" t="s">
        <v>1427</v>
      </c>
      <c r="F494" s="503" t="s">
        <v>3528</v>
      </c>
      <c r="G494" s="527" t="s">
        <v>3528</v>
      </c>
      <c r="H494" s="503" t="s">
        <v>3528</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3505</v>
      </c>
      <c r="O494" s="505"/>
      <c r="P494" s="67">
        <f>OBRA!T494</f>
        <v>43977</v>
      </c>
      <c r="Q494" s="79">
        <f>OBRA!S494</f>
        <v>334158.86</v>
      </c>
      <c r="R494" s="79"/>
      <c r="S494" s="5">
        <f>OBRA!U494</f>
        <v>43984</v>
      </c>
      <c r="T494" s="11">
        <f>OBRA!V494</f>
        <v>44040</v>
      </c>
      <c r="U494" s="53"/>
      <c r="V494" s="62" t="s">
        <v>1427</v>
      </c>
      <c r="W494" s="500" t="s">
        <v>3528</v>
      </c>
      <c r="X494" s="589" t="s">
        <v>3528</v>
      </c>
      <c r="Y494" s="1007">
        <f>OBRA!AS494</f>
        <v>150371.5</v>
      </c>
      <c r="Z494" s="310"/>
      <c r="AA494" s="310"/>
      <c r="AB494" s="5"/>
      <c r="AC494" s="318">
        <f>OBRA!BX494</f>
        <v>0</v>
      </c>
      <c r="AD494" s="353" t="s">
        <v>550</v>
      </c>
      <c r="AF494"/>
      <c r="AG494"/>
      <c r="AH494"/>
      <c r="AI494"/>
      <c r="AJ494"/>
      <c r="AK494"/>
      <c r="AL494"/>
      <c r="AM494"/>
    </row>
    <row r="495" spans="1:39" ht="121.5" hidden="1" customHeight="1">
      <c r="A495" s="22" t="str">
        <f>'ADMININSTRACIÓN DIR - OBRA'!G498</f>
        <v>OBRA</v>
      </c>
      <c r="B495" s="814" t="str">
        <f>'ADMININSTRACIÓN DIR - OBRA'!B498</f>
        <v>2018-2021</v>
      </c>
      <c r="C495" s="16">
        <f>OBRA!K495</f>
        <v>2020</v>
      </c>
      <c r="D495" s="17" t="str">
        <f>OBRA!N495</f>
        <v>RAMO 33</v>
      </c>
      <c r="E495" s="479" t="s">
        <v>1427</v>
      </c>
      <c r="F495" s="503" t="s">
        <v>3517</v>
      </c>
      <c r="G495" s="527" t="s">
        <v>3517</v>
      </c>
      <c r="H495" s="503" t="s">
        <v>3517</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3505</v>
      </c>
      <c r="O495" s="505"/>
      <c r="P495" s="6">
        <f>OBRA!T495</f>
        <v>43977</v>
      </c>
      <c r="Q495" s="4">
        <f>OBRA!S495</f>
        <v>755011.1</v>
      </c>
      <c r="R495" s="4"/>
      <c r="S495" s="5">
        <f>OBRA!U495</f>
        <v>43984</v>
      </c>
      <c r="T495" s="11">
        <f>OBRA!V495</f>
        <v>44037</v>
      </c>
      <c r="U495" s="53"/>
      <c r="V495" s="378" t="s">
        <v>1427</v>
      </c>
      <c r="W495" s="500" t="s">
        <v>3517</v>
      </c>
      <c r="X495" s="589" t="s">
        <v>3517</v>
      </c>
      <c r="Y495" s="1006">
        <f>OBRA!AS495</f>
        <v>151002.22</v>
      </c>
      <c r="Z495" s="310"/>
      <c r="AA495" s="310"/>
      <c r="AB495" s="5"/>
      <c r="AC495" s="318">
        <f>OBRA!BX495</f>
        <v>0</v>
      </c>
      <c r="AD495" s="353"/>
      <c r="AF495"/>
      <c r="AG495"/>
      <c r="AH495"/>
      <c r="AI495"/>
      <c r="AJ495"/>
      <c r="AK495"/>
      <c r="AL495"/>
      <c r="AM495"/>
    </row>
    <row r="496" spans="1:39" ht="103.5" hidden="1" customHeight="1">
      <c r="A496" s="22" t="str">
        <f>'ADMININSTRACIÓN DIR - OBRA'!G499</f>
        <v>OBRA</v>
      </c>
      <c r="B496" s="814" t="str">
        <f>'ADMININSTRACIÓN DIR - OBRA'!B499</f>
        <v>2018-2021</v>
      </c>
      <c r="C496" s="16">
        <f>OBRA!K496</f>
        <v>2020</v>
      </c>
      <c r="D496" s="17" t="str">
        <f>OBRA!N496</f>
        <v>RAMO 33</v>
      </c>
      <c r="E496" s="479" t="s">
        <v>1427</v>
      </c>
      <c r="F496" s="503" t="s">
        <v>3521</v>
      </c>
      <c r="G496" s="527" t="s">
        <v>3521</v>
      </c>
      <c r="H496" s="503" t="s">
        <v>3521</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3505</v>
      </c>
      <c r="O496" s="505"/>
      <c r="P496" s="6">
        <f>OBRA!T496</f>
        <v>44005</v>
      </c>
      <c r="Q496" s="4">
        <f>OBRA!S496</f>
        <v>317000</v>
      </c>
      <c r="R496" s="4"/>
      <c r="S496" s="5">
        <f>OBRA!U496</f>
        <v>44032</v>
      </c>
      <c r="T496" s="11">
        <f>OBRA!V496</f>
        <v>44063</v>
      </c>
      <c r="U496" s="53"/>
      <c r="V496" s="62" t="s">
        <v>1427</v>
      </c>
      <c r="W496" s="500" t="s">
        <v>3521</v>
      </c>
      <c r="X496" s="589" t="s">
        <v>3521</v>
      </c>
      <c r="Y496" s="1007">
        <f>OBRA!AS496</f>
        <v>153450</v>
      </c>
      <c r="Z496" s="310"/>
      <c r="AA496" s="310"/>
      <c r="AB496" s="5"/>
      <c r="AC496" s="318">
        <f>OBRA!BX496</f>
        <v>0</v>
      </c>
      <c r="AD496" s="353" t="s">
        <v>550</v>
      </c>
      <c r="AF496"/>
      <c r="AG496"/>
      <c r="AH496"/>
      <c r="AI496"/>
      <c r="AJ496"/>
      <c r="AK496"/>
      <c r="AL496"/>
      <c r="AM496"/>
    </row>
    <row r="497" spans="1:39" ht="108.75" hidden="1" customHeight="1">
      <c r="A497" s="22" t="str">
        <f>'ADMININSTRACIÓN DIR - OBRA'!G500</f>
        <v>OBRA</v>
      </c>
      <c r="B497" s="814" t="str">
        <f>'ADMININSTRACIÓN DIR - OBRA'!B500</f>
        <v>2018-2021</v>
      </c>
      <c r="C497" s="16">
        <f>OBRA!K497</f>
        <v>2020</v>
      </c>
      <c r="D497" s="17" t="str">
        <f>OBRA!N497</f>
        <v>RAMO 33</v>
      </c>
      <c r="E497" s="479" t="s">
        <v>1427</v>
      </c>
      <c r="F497" s="497" t="s">
        <v>3515</v>
      </c>
      <c r="G497" s="496" t="s">
        <v>3515</v>
      </c>
      <c r="H497" s="497" t="s">
        <v>3590</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3505</v>
      </c>
      <c r="O497" s="505"/>
      <c r="P497" s="6">
        <f>OBRA!T497</f>
        <v>43974</v>
      </c>
      <c r="Q497" s="4">
        <f>OBRA!S497</f>
        <v>239360.13</v>
      </c>
      <c r="R497" s="4"/>
      <c r="S497" s="5">
        <f>OBRA!U497</f>
        <v>43976</v>
      </c>
      <c r="T497" s="11">
        <f>OBRA!V497</f>
        <v>43983</v>
      </c>
      <c r="U497" s="53"/>
      <c r="V497" s="378" t="s">
        <v>1427</v>
      </c>
      <c r="W497" s="500" t="s">
        <v>3590</v>
      </c>
      <c r="X497" s="589" t="s">
        <v>3590</v>
      </c>
      <c r="Y497" s="1007">
        <f>OBRA!AS497</f>
        <v>47872.02</v>
      </c>
      <c r="Z497" s="310"/>
      <c r="AA497" s="310"/>
      <c r="AB497" s="5"/>
      <c r="AC497" s="318">
        <f>OBRA!BX497</f>
        <v>0</v>
      </c>
      <c r="AD497" s="353" t="s">
        <v>550</v>
      </c>
      <c r="AF497"/>
      <c r="AG497"/>
      <c r="AH497"/>
      <c r="AI497"/>
      <c r="AJ497"/>
      <c r="AK497"/>
      <c r="AL497"/>
      <c r="AM497"/>
    </row>
    <row r="498" spans="1:39" ht="105" hidden="1" customHeight="1">
      <c r="A498" s="22" t="str">
        <f>'ADMININSTRACIÓN DIR - OBRA'!G501</f>
        <v>OBRA</v>
      </c>
      <c r="B498" s="814" t="str">
        <f>'ADMININSTRACIÓN DIR - OBRA'!B501</f>
        <v>2018-2021</v>
      </c>
      <c r="C498" s="16">
        <f>OBRA!K498</f>
        <v>2020</v>
      </c>
      <c r="D498" s="17" t="str">
        <f>OBRA!N498</f>
        <v>CUENTA CORRIENTE</v>
      </c>
      <c r="E498" s="479" t="s">
        <v>1427</v>
      </c>
      <c r="F498" s="497" t="s">
        <v>3516</v>
      </c>
      <c r="G498" s="496" t="s">
        <v>3516</v>
      </c>
      <c r="H498" s="497" t="s">
        <v>3591</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3506</v>
      </c>
      <c r="O498" s="505"/>
      <c r="P498" s="6">
        <f>OBRA!T498</f>
        <v>43978</v>
      </c>
      <c r="Q498" s="4">
        <f>OBRA!S498</f>
        <v>410553.76</v>
      </c>
      <c r="R498" s="4"/>
      <c r="S498" s="5">
        <f>OBRA!U498</f>
        <v>43952</v>
      </c>
      <c r="T498" s="11">
        <f>OBRA!V498</f>
        <v>43987</v>
      </c>
      <c r="U498" s="53"/>
      <c r="V498" s="378" t="s">
        <v>1427</v>
      </c>
      <c r="W498" s="500" t="s">
        <v>3591</v>
      </c>
      <c r="X498" s="589" t="s">
        <v>3591</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'ADMININSTRACIÓN DIR - OBRA'!G502</f>
        <v>OBRA</v>
      </c>
      <c r="B499" s="814" t="str">
        <f>'ADMININSTRACIÓN DIR - OBRA'!B502</f>
        <v>2018-2021</v>
      </c>
      <c r="C499" s="16">
        <f>OBRA!K499</f>
        <v>2020</v>
      </c>
      <c r="D499" s="17" t="str">
        <f>OBRA!N499</f>
        <v>RAMO 33</v>
      </c>
      <c r="E499" s="479" t="s">
        <v>1427</v>
      </c>
      <c r="F499" s="163"/>
      <c r="G499" s="496" t="s">
        <v>3529</v>
      </c>
      <c r="H499" s="497" t="s">
        <v>3529</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3506</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'ADMININSTRACIÓN DIR - OBRA'!G503</f>
        <v>OBRA</v>
      </c>
      <c r="B500" s="814" t="str">
        <f>'ADMININSTRACIÓN DIR - OBRA'!B503</f>
        <v>2018-2021</v>
      </c>
      <c r="C500" s="16">
        <f>OBRA!K500</f>
        <v>2020</v>
      </c>
      <c r="D500" s="17" t="str">
        <f>OBRA!N500</f>
        <v>RAMO 33</v>
      </c>
      <c r="E500" s="479" t="s">
        <v>1427</v>
      </c>
      <c r="F500" s="503" t="s">
        <v>3530</v>
      </c>
      <c r="G500" s="527" t="s">
        <v>3530</v>
      </c>
      <c r="H500" s="503" t="s">
        <v>3530</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3506</v>
      </c>
      <c r="O500" s="505"/>
      <c r="P500" s="67">
        <f>OBRA!T500</f>
        <v>43994</v>
      </c>
      <c r="Q500" s="4">
        <f>OBRA!S500</f>
        <v>281826.5</v>
      </c>
      <c r="R500" s="4"/>
      <c r="S500" s="5">
        <f>OBRA!U500</f>
        <v>43997</v>
      </c>
      <c r="T500" s="11">
        <f>OBRA!V500</f>
        <v>44011</v>
      </c>
      <c r="U500" s="53"/>
      <c r="V500" s="378" t="s">
        <v>1427</v>
      </c>
      <c r="W500" s="500" t="s">
        <v>3530</v>
      </c>
      <c r="X500" s="589" t="s">
        <v>3530</v>
      </c>
      <c r="Y500" s="341">
        <f>OBRA!AS500</f>
        <v>56365.3</v>
      </c>
      <c r="Z500" s="310"/>
      <c r="AA500" s="310"/>
      <c r="AB500" s="5"/>
      <c r="AC500" s="318">
        <f>OBRA!BX500</f>
        <v>0</v>
      </c>
      <c r="AD500" s="353" t="s">
        <v>550</v>
      </c>
      <c r="AF500"/>
      <c r="AG500"/>
      <c r="AH500"/>
      <c r="AI500"/>
      <c r="AJ500"/>
      <c r="AK500"/>
      <c r="AL500"/>
      <c r="AM500"/>
    </row>
    <row r="501" spans="1:39" ht="120" hidden="1" customHeight="1">
      <c r="A501" s="22" t="str">
        <f>'ADMININSTRACIÓN DIR - OBRA'!G504</f>
        <v>OBRA</v>
      </c>
      <c r="B501" s="814" t="str">
        <f>'ADMININSTRACIÓN DIR - OBRA'!B504</f>
        <v>2018-2021</v>
      </c>
      <c r="C501" s="16">
        <f>OBRA!K501</f>
        <v>2020</v>
      </c>
      <c r="D501" s="17" t="str">
        <f>OBRA!N501</f>
        <v>RAMO 33</v>
      </c>
      <c r="E501" s="479" t="s">
        <v>1427</v>
      </c>
      <c r="F501" s="497" t="s">
        <v>3523</v>
      </c>
      <c r="G501" s="888"/>
      <c r="H501" s="503" t="s">
        <v>3523</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3506</v>
      </c>
      <c r="O501" s="505"/>
      <c r="P501" s="67">
        <f>OBRA!T501</f>
        <v>43994</v>
      </c>
      <c r="Q501" s="79">
        <f>OBRA!S501</f>
        <v>241381.67</v>
      </c>
      <c r="R501" s="79"/>
      <c r="S501" s="5">
        <f>OBRA!U501</f>
        <v>44000</v>
      </c>
      <c r="T501" s="11">
        <f>OBRA!V501</f>
        <v>44030</v>
      </c>
      <c r="U501" s="53"/>
      <c r="V501" s="62" t="s">
        <v>1427</v>
      </c>
      <c r="W501" s="500" t="s">
        <v>3523</v>
      </c>
      <c r="X501" s="589" t="s">
        <v>3523</v>
      </c>
      <c r="Y501" s="341">
        <f>OBRA!AS501</f>
        <v>48276.2</v>
      </c>
      <c r="Z501" s="310"/>
      <c r="AA501" s="310"/>
      <c r="AB501" s="5"/>
      <c r="AC501" s="318">
        <f>OBRA!BX501</f>
        <v>0</v>
      </c>
      <c r="AD501" s="353"/>
      <c r="AF501"/>
      <c r="AG501"/>
      <c r="AH501"/>
      <c r="AI501"/>
      <c r="AJ501"/>
      <c r="AK501"/>
      <c r="AL501"/>
      <c r="AM501"/>
    </row>
    <row r="502" spans="1:39" ht="106.5" hidden="1" customHeight="1">
      <c r="A502" s="22" t="str">
        <f>'ADMININSTRACIÓN DIR - OBRA'!G505</f>
        <v>OBRA</v>
      </c>
      <c r="B502" s="814" t="str">
        <f>'ADMININSTRACIÓN DIR - OBRA'!B505</f>
        <v>2018-2021</v>
      </c>
      <c r="C502" s="16">
        <f>OBRA!K502</f>
        <v>2020</v>
      </c>
      <c r="D502" s="17" t="str">
        <f>OBRA!N502</f>
        <v>CUENTA CORRIENTE</v>
      </c>
      <c r="E502" s="479" t="s">
        <v>1427</v>
      </c>
      <c r="F502" s="497" t="s">
        <v>3524</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3506</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'ADMININSTRACIÓN DIR - OBRA'!G506</f>
        <v>OBRA</v>
      </c>
      <c r="B503" s="814" t="str">
        <f>'ADMININSTRACIÓN DIR - OBRA'!B506</f>
        <v>2018-2021</v>
      </c>
      <c r="C503" s="16">
        <f>OBRA!K503</f>
        <v>2020</v>
      </c>
      <c r="D503" s="17" t="str">
        <f>OBRA!N503</f>
        <v>CUENTA CORRIENTE</v>
      </c>
      <c r="E503" s="479" t="s">
        <v>1427</v>
      </c>
      <c r="F503" s="497" t="s">
        <v>3599</v>
      </c>
      <c r="G503" s="496" t="s">
        <v>3599</v>
      </c>
      <c r="H503" s="497" t="s">
        <v>3599</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3506</v>
      </c>
      <c r="O503" s="505"/>
      <c r="P503" s="67">
        <f>OBRA!T503</f>
        <v>44007</v>
      </c>
      <c r="Q503" s="79">
        <f>OBRA!S503</f>
        <v>302749.5</v>
      </c>
      <c r="R503" s="79"/>
      <c r="S503" s="5">
        <f>OBRA!U503</f>
        <v>44008</v>
      </c>
      <c r="T503" s="11">
        <f>OBRA!V503</f>
        <v>44074</v>
      </c>
      <c r="U503" s="53"/>
      <c r="V503" s="207" t="s">
        <v>1427</v>
      </c>
      <c r="W503" s="500" t="s">
        <v>3599</v>
      </c>
      <c r="X503" s="589" t="s">
        <v>3599</v>
      </c>
      <c r="Y503" s="341">
        <f>OBRA!AS503</f>
        <v>60549</v>
      </c>
      <c r="Z503" s="310"/>
      <c r="AA503" s="310"/>
      <c r="AB503" s="5"/>
      <c r="AC503" s="318">
        <f>OBRA!BX503</f>
        <v>0</v>
      </c>
      <c r="AD503" s="353" t="s">
        <v>550</v>
      </c>
      <c r="AF503"/>
      <c r="AG503"/>
      <c r="AH503"/>
      <c r="AI503"/>
      <c r="AJ503"/>
      <c r="AK503"/>
      <c r="AL503"/>
      <c r="AM503"/>
    </row>
    <row r="504" spans="1:39" ht="122.25" hidden="1" customHeight="1">
      <c r="A504" s="22" t="str">
        <f>'ADMININSTRACIÓN DIR - OBRA'!G507</f>
        <v>OBRA</v>
      </c>
      <c r="B504" s="814" t="str">
        <f>'ADMININSTRACIÓN DIR - OBRA'!B507</f>
        <v>2018-2021</v>
      </c>
      <c r="C504" s="16">
        <f>OBRA!K504</f>
        <v>2020</v>
      </c>
      <c r="D504" s="17" t="str">
        <f>OBRA!N504</f>
        <v>CUENTA CORRIENTE</v>
      </c>
      <c r="E504" s="479" t="s">
        <v>1427</v>
      </c>
      <c r="F504" s="497" t="s">
        <v>3600</v>
      </c>
      <c r="G504" s="496" t="s">
        <v>3600</v>
      </c>
      <c r="H504" s="497" t="s">
        <v>3600</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3506</v>
      </c>
      <c r="O504" s="505"/>
      <c r="P504" s="6">
        <f>OBRA!T504</f>
        <v>44012</v>
      </c>
      <c r="Q504" s="4">
        <f>OBRA!S504</f>
        <v>423536.77</v>
      </c>
      <c r="R504" s="4"/>
      <c r="S504" s="5">
        <f>OBRA!U504</f>
        <v>44018</v>
      </c>
      <c r="T504" s="11">
        <f>OBRA!V504</f>
        <v>44104</v>
      </c>
      <c r="U504" s="53"/>
      <c r="V504" s="378" t="s">
        <v>1427</v>
      </c>
      <c r="W504" s="500" t="s">
        <v>3600</v>
      </c>
      <c r="X504" s="589" t="s">
        <v>3600</v>
      </c>
      <c r="Y504" s="341">
        <f>OBRA!AS504</f>
        <v>84707.34</v>
      </c>
      <c r="Z504" s="310"/>
      <c r="AA504" s="310"/>
      <c r="AB504" s="5"/>
      <c r="AC504" s="318">
        <f>OBRA!BX504</f>
        <v>0</v>
      </c>
      <c r="AD504" s="353" t="s">
        <v>550</v>
      </c>
      <c r="AF504"/>
      <c r="AG504"/>
      <c r="AH504"/>
      <c r="AI504"/>
      <c r="AJ504"/>
      <c r="AK504"/>
      <c r="AL504"/>
      <c r="AM504"/>
    </row>
    <row r="505" spans="1:39" ht="76.5" hidden="1" customHeight="1">
      <c r="A505" s="22" t="str">
        <f>'ADMININSTRACIÓN DIR - OBRA'!G508</f>
        <v>OBRA</v>
      </c>
      <c r="B505" s="814" t="str">
        <f>'ADMININSTRACIÓN DIR - OBRA'!B508</f>
        <v>2018-2021</v>
      </c>
      <c r="C505" s="16">
        <f>OBRA!K505</f>
        <v>2020</v>
      </c>
      <c r="D505" s="17" t="str">
        <f>OBRA!N505</f>
        <v>RAMO 33</v>
      </c>
      <c r="E505" s="479" t="s">
        <v>1427</v>
      </c>
      <c r="F505" s="163"/>
      <c r="G505" s="496" t="s">
        <v>3601</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3506</v>
      </c>
      <c r="O505" s="505"/>
      <c r="P505" s="6">
        <f>OBRA!T505</f>
        <v>44019</v>
      </c>
      <c r="Q505" s="4">
        <f>OBRA!S505</f>
        <v>174784.71</v>
      </c>
      <c r="R505" s="4"/>
      <c r="S505" s="5">
        <f>OBRA!U505</f>
        <v>44032</v>
      </c>
      <c r="T505" s="11">
        <f>OBRA!V505</f>
        <v>44051</v>
      </c>
      <c r="U505" s="53"/>
      <c r="V505" s="378" t="s">
        <v>1427</v>
      </c>
      <c r="W505" s="538"/>
      <c r="X505" s="589" t="s">
        <v>3601</v>
      </c>
      <c r="Y505" s="341">
        <f>OBRA!AS505</f>
        <v>61174.65</v>
      </c>
      <c r="Z505" s="310"/>
      <c r="AA505" s="310"/>
      <c r="AB505" s="5"/>
      <c r="AC505" s="318">
        <f>OBRA!BX505</f>
        <v>0</v>
      </c>
      <c r="AD505" s="353"/>
      <c r="AF505"/>
      <c r="AG505"/>
      <c r="AH505"/>
      <c r="AI505"/>
      <c r="AJ505"/>
      <c r="AK505"/>
      <c r="AL505"/>
      <c r="AM505"/>
    </row>
    <row r="506" spans="1:39" ht="78" hidden="1" customHeight="1">
      <c r="A506" s="22" t="str">
        <f>'ADMININSTRACIÓN DIR - OBRA'!G509</f>
        <v>OBRA</v>
      </c>
      <c r="B506" s="814" t="str">
        <f>'ADMININSTRACIÓN DIR - OBRA'!B509</f>
        <v>2018-2021</v>
      </c>
      <c r="C506" s="16">
        <f>OBRA!K506</f>
        <v>2020</v>
      </c>
      <c r="D506" s="17" t="str">
        <f>OBRA!N506</f>
        <v>RAMO 33</v>
      </c>
      <c r="E506" s="479" t="s">
        <v>1427</v>
      </c>
      <c r="F506" s="146" t="s">
        <v>1176</v>
      </c>
      <c r="G506" s="2" t="s">
        <v>1176</v>
      </c>
      <c r="H506" s="497" t="s">
        <v>3602</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3506</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'ADMININSTRACIÓN DIR - OBRA'!G510</f>
        <v>OBRA</v>
      </c>
      <c r="B507" s="814" t="str">
        <f>'ADMININSTRACIÓN DIR - OBRA'!B510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'ADMININSTRACIÓN DIR - OBRA'!G511</f>
        <v>OBRA</v>
      </c>
      <c r="B508" s="814" t="str">
        <f>'ADMININSTRACIÓN DIR - OBRA'!B511</f>
        <v>2018-2021</v>
      </c>
      <c r="C508" s="16">
        <f>OBRA!K508</f>
        <v>2020</v>
      </c>
      <c r="D508" s="17" t="str">
        <f>OBRA!N508</f>
        <v>RAMO 33</v>
      </c>
      <c r="E508" s="479" t="s">
        <v>1427</v>
      </c>
      <c r="F508" s="497" t="s">
        <v>3519</v>
      </c>
      <c r="G508" s="496" t="s">
        <v>3519</v>
      </c>
      <c r="H508" s="497" t="s">
        <v>3519</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3507</v>
      </c>
      <c r="O508" s="467"/>
      <c r="P508" s="67">
        <f>OBRA!T508</f>
        <v>44021</v>
      </c>
      <c r="Q508" s="79">
        <f>OBRA!S508</f>
        <v>773550.52</v>
      </c>
      <c r="R508" s="79"/>
      <c r="S508" s="5">
        <f>OBRA!U508</f>
        <v>44032</v>
      </c>
      <c r="T508" s="11">
        <f>OBRA!V508</f>
        <v>44077</v>
      </c>
      <c r="U508" s="53"/>
      <c r="V508" s="62" t="s">
        <v>1427</v>
      </c>
      <c r="W508" s="500" t="s">
        <v>3519</v>
      </c>
      <c r="X508" s="589" t="s">
        <v>3519</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'ADMININSTRACIÓN DIR - OBRA'!G512</f>
        <v>OBRA</v>
      </c>
      <c r="B509" s="814" t="str">
        <f>'ADMININSTRACIÓN DIR - OBRA'!B512</f>
        <v>2018-2021</v>
      </c>
      <c r="C509" s="16">
        <f>OBRA!K509</f>
        <v>2020</v>
      </c>
      <c r="D509" s="17" t="str">
        <f>OBRA!N509</f>
        <v>RAMO 33</v>
      </c>
      <c r="E509" s="479" t="s">
        <v>1427</v>
      </c>
      <c r="F509" s="497" t="s">
        <v>3531</v>
      </c>
      <c r="G509" s="496" t="s">
        <v>3531</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3507</v>
      </c>
      <c r="O509" s="467"/>
      <c r="P509" s="6">
        <f>OBRA!T509</f>
        <v>44021</v>
      </c>
      <c r="Q509" s="4">
        <f>OBRA!S509</f>
        <v>844236.05</v>
      </c>
      <c r="R509" s="4"/>
      <c r="S509" s="5">
        <f>OBRA!U509</f>
        <v>44027</v>
      </c>
      <c r="T509" s="11">
        <f>OBRA!V509</f>
        <v>44088</v>
      </c>
      <c r="U509" s="53"/>
      <c r="V509" s="378" t="s">
        <v>1427</v>
      </c>
      <c r="W509" s="500" t="s">
        <v>3531</v>
      </c>
      <c r="X509" s="589" t="s">
        <v>3531</v>
      </c>
      <c r="Y509" s="341">
        <f>OBRA!AS509</f>
        <v>168847.22</v>
      </c>
      <c r="Z509" s="310"/>
      <c r="AA509" s="310"/>
      <c r="AB509" s="5"/>
      <c r="AC509" s="318">
        <f>OBRA!BX509</f>
        <v>0</v>
      </c>
      <c r="AD509" s="353"/>
      <c r="AF509"/>
      <c r="AG509"/>
      <c r="AH509"/>
      <c r="AI509"/>
      <c r="AJ509"/>
      <c r="AK509"/>
      <c r="AL509"/>
      <c r="AM509"/>
    </row>
    <row r="510" spans="1:39" ht="80.25" hidden="1" customHeight="1">
      <c r="A510" s="22" t="str">
        <f>'ADMININSTRACIÓN DIR - OBRA'!G513</f>
        <v>OBRA</v>
      </c>
      <c r="B510" s="814" t="str">
        <f>'ADMININSTRACIÓN DIR - OBRA'!B513</f>
        <v>2018-2021</v>
      </c>
      <c r="C510" s="16">
        <f>OBRA!K510</f>
        <v>2020</v>
      </c>
      <c r="D510" s="17" t="str">
        <f>OBRA!N510</f>
        <v>RAMO 33</v>
      </c>
      <c r="E510" s="479" t="s">
        <v>1427</v>
      </c>
      <c r="F510" s="163"/>
      <c r="G510" s="496" t="s">
        <v>3603</v>
      </c>
      <c r="H510" s="497" t="s">
        <v>3603</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3507</v>
      </c>
      <c r="O510" s="467"/>
      <c r="P510" s="67">
        <f>OBRA!T510</f>
        <v>44019</v>
      </c>
      <c r="Q510" s="79">
        <f>OBRA!S510</f>
        <v>189588.54</v>
      </c>
      <c r="R510" s="79"/>
      <c r="S510" s="5">
        <f>OBRA!U510</f>
        <v>44032</v>
      </c>
      <c r="T510" s="11">
        <f>OBRA!V510</f>
        <v>44051</v>
      </c>
      <c r="U510" s="53"/>
      <c r="V510" s="62" t="s">
        <v>1427</v>
      </c>
      <c r="W510" s="500" t="s">
        <v>3603</v>
      </c>
      <c r="X510" s="589" t="s">
        <v>3603</v>
      </c>
      <c r="Y510" s="341">
        <f>OBRA!AS510</f>
        <v>66356</v>
      </c>
      <c r="Z510" s="310"/>
      <c r="AA510" s="310"/>
      <c r="AB510" s="5"/>
      <c r="AC510" s="318">
        <f>OBRA!BX510</f>
        <v>0</v>
      </c>
      <c r="AD510" s="353"/>
      <c r="AF510"/>
      <c r="AG510"/>
      <c r="AH510"/>
      <c r="AI510"/>
      <c r="AJ510"/>
      <c r="AK510"/>
      <c r="AL510"/>
      <c r="AM510"/>
    </row>
    <row r="511" spans="1:39" ht="155.25" hidden="1" customHeight="1">
      <c r="A511" s="22" t="str">
        <f>'ADMININSTRACIÓN DIR - OBRA'!G514</f>
        <v>OBRA</v>
      </c>
      <c r="B511" s="814" t="str">
        <f>'ADMININSTRACIÓN DIR - OBRA'!B514</f>
        <v>2018-2021</v>
      </c>
      <c r="C511" s="16">
        <f>OBRA!K511</f>
        <v>2020</v>
      </c>
      <c r="D511" s="17" t="str">
        <f>OBRA!N511</f>
        <v>RAMO 33</v>
      </c>
      <c r="E511" s="479" t="s">
        <v>1427</v>
      </c>
      <c r="F511" s="497" t="s">
        <v>3511</v>
      </c>
      <c r="G511" s="496" t="s">
        <v>3511</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3507</v>
      </c>
      <c r="O511" s="467"/>
      <c r="P511" s="6">
        <f>OBRA!T511</f>
        <v>44028</v>
      </c>
      <c r="Q511" s="4">
        <f>OBRA!S511</f>
        <v>1003699.45</v>
      </c>
      <c r="R511" s="4"/>
      <c r="S511" s="5">
        <f>OBRA!U511</f>
        <v>44032</v>
      </c>
      <c r="T511" s="11">
        <f>OBRA!V511</f>
        <v>44089</v>
      </c>
      <c r="U511" s="53"/>
      <c r="V511" s="378" t="s">
        <v>1427</v>
      </c>
      <c r="W511" s="500" t="s">
        <v>3511</v>
      </c>
      <c r="X511" s="589" t="s">
        <v>3511</v>
      </c>
      <c r="Y511" s="280">
        <f>OBRA!AS511</f>
        <v>451664.74</v>
      </c>
      <c r="Z511" s="310"/>
      <c r="AA511" s="310"/>
      <c r="AB511" s="5"/>
      <c r="AC511" s="318">
        <f>OBRA!BX511</f>
        <v>0</v>
      </c>
      <c r="AD511" s="353"/>
      <c r="AF511"/>
      <c r="AG511"/>
      <c r="AH511"/>
      <c r="AI511"/>
      <c r="AJ511"/>
      <c r="AK511"/>
      <c r="AL511"/>
      <c r="AM511"/>
    </row>
    <row r="512" spans="1:39" ht="177" hidden="1" customHeight="1">
      <c r="A512" s="22" t="str">
        <f>'ADMININSTRACIÓN DIR - OBRA'!G515</f>
        <v>OBRA</v>
      </c>
      <c r="B512" s="814" t="str">
        <f>'ADMININSTRACIÓN DIR - OBRA'!B515</f>
        <v>2018-2021</v>
      </c>
      <c r="C512" s="16">
        <f>OBRA!K512</f>
        <v>2020</v>
      </c>
      <c r="D512" s="17" t="str">
        <f>OBRA!N512</f>
        <v>RAMO 33</v>
      </c>
      <c r="E512" s="479" t="s">
        <v>1427</v>
      </c>
      <c r="F512" s="497" t="s">
        <v>3510</v>
      </c>
      <c r="G512" s="496" t="s">
        <v>3510</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3507</v>
      </c>
      <c r="O512" s="467"/>
      <c r="P512" s="6">
        <f>OBRA!T512</f>
        <v>44028</v>
      </c>
      <c r="Q512" s="4">
        <f>OBRA!S512</f>
        <v>961974.96</v>
      </c>
      <c r="R512" s="4"/>
      <c r="S512" s="5">
        <f>OBRA!U512</f>
        <v>44032</v>
      </c>
      <c r="T512" s="11">
        <f>OBRA!V512</f>
        <v>44089</v>
      </c>
      <c r="U512" s="53"/>
      <c r="V512" s="378" t="s">
        <v>1427</v>
      </c>
      <c r="W512" s="500" t="s">
        <v>3510</v>
      </c>
      <c r="X512" s="589" t="s">
        <v>3510</v>
      </c>
      <c r="Y512" s="280">
        <f>OBRA!AS512</f>
        <v>432888.71</v>
      </c>
      <c r="Z512" s="310"/>
      <c r="AA512" s="310"/>
      <c r="AB512" s="5"/>
      <c r="AC512" s="318">
        <f>OBRA!BX512</f>
        <v>0</v>
      </c>
      <c r="AD512" s="353"/>
      <c r="AF512"/>
      <c r="AG512"/>
      <c r="AH512"/>
      <c r="AI512"/>
      <c r="AJ512"/>
      <c r="AK512"/>
      <c r="AL512"/>
      <c r="AM512"/>
    </row>
    <row r="513" spans="1:39" ht="152.25" hidden="1" customHeight="1">
      <c r="A513" s="22" t="str">
        <f>'ADMININSTRACIÓN DIR - OBRA'!G516</f>
        <v>OBRA</v>
      </c>
      <c r="B513" s="814" t="str">
        <f>'ADMININSTRACIÓN DIR - OBRA'!B516</f>
        <v>2018-2021</v>
      </c>
      <c r="C513" s="16">
        <f>OBRA!K513</f>
        <v>2020</v>
      </c>
      <c r="D513" s="17" t="str">
        <f>OBRA!N513</f>
        <v>RAMO 33</v>
      </c>
      <c r="E513" s="479" t="s">
        <v>1427</v>
      </c>
      <c r="F513" s="497" t="s">
        <v>3522</v>
      </c>
      <c r="G513" s="496" t="s">
        <v>3522</v>
      </c>
      <c r="H513" s="497" t="s">
        <v>3522</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3507</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3555</v>
      </c>
      <c r="AD513" s="353"/>
      <c r="AF513"/>
      <c r="AG513"/>
      <c r="AH513"/>
      <c r="AI513"/>
      <c r="AJ513"/>
      <c r="AK513"/>
      <c r="AL513"/>
      <c r="AM513"/>
    </row>
    <row r="514" spans="1:39" ht="83.25" hidden="1" customHeight="1">
      <c r="A514" s="22" t="str">
        <f>'ADMININSTRACIÓN DIR - OBRA'!G517</f>
        <v>OBRA</v>
      </c>
      <c r="B514" s="814" t="str">
        <f>'ADMININSTRACIÓN DIR - OBRA'!B517</f>
        <v>2018-2021</v>
      </c>
      <c r="C514" s="16">
        <f>OBRA!K514</f>
        <v>2020</v>
      </c>
      <c r="D514" s="17" t="str">
        <f>OBRA!N514</f>
        <v>RAMO 33</v>
      </c>
      <c r="E514" s="479" t="s">
        <v>1427</v>
      </c>
      <c r="F514" s="163"/>
      <c r="G514" s="496" t="s">
        <v>3622</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3507</v>
      </c>
      <c r="O514" s="505"/>
      <c r="P514" s="67">
        <f>OBRA!T514</f>
        <v>44007</v>
      </c>
      <c r="Q514" s="79">
        <f>OBRA!S514</f>
        <v>2630623.62</v>
      </c>
      <c r="R514" s="79"/>
      <c r="S514" s="5">
        <f>OBRA!U514</f>
        <v>44008</v>
      </c>
      <c r="T514" s="11">
        <f>OBRA!V514</f>
        <v>44099</v>
      </c>
      <c r="U514" s="53"/>
      <c r="V514" s="378" t="s">
        <v>1427</v>
      </c>
      <c r="W514" s="500" t="s">
        <v>3622</v>
      </c>
      <c r="X514" s="589" t="s">
        <v>3622</v>
      </c>
      <c r="Y514" s="281">
        <f>OBRA!AS514</f>
        <v>263173.42</v>
      </c>
      <c r="Z514" s="310"/>
      <c r="AA514" s="310"/>
      <c r="AB514" s="5"/>
      <c r="AC514" s="318">
        <f>OBRA!BX514</f>
        <v>0</v>
      </c>
      <c r="AD514" s="353"/>
      <c r="AF514"/>
      <c r="AG514"/>
      <c r="AH514"/>
      <c r="AI514"/>
      <c r="AJ514"/>
      <c r="AK514"/>
      <c r="AL514"/>
      <c r="AM514"/>
    </row>
    <row r="515" spans="1:39" ht="15" hidden="1" customHeight="1">
      <c r="A515" s="22" t="str">
        <f>'ADMININSTRACIÓN DIR - OBRA'!G520</f>
        <v>OBRA</v>
      </c>
      <c r="B515" s="814" t="str">
        <f>'ADMININSTRACIÓN DIR - OBRA'!B520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'ADMININSTRACIÓN DIR - OBRA'!G521</f>
        <v>OBRA</v>
      </c>
      <c r="B516" s="814" t="str">
        <f>'ADMININSTRACIÓN DIR - OBRA'!B521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e">
        <f>'ADMININSTRACIÓN DIR - OBRA'!#REF!</f>
        <v>#REF!</v>
      </c>
      <c r="B517" s="814" t="e">
        <f>'ADMININSTRACIÓN DIR - OBRA'!#REF!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e">
        <f>'ADMININSTRACIÓN DIR - OBRA'!#REF!</f>
        <v>#REF!</v>
      </c>
      <c r="B518" s="814" t="e">
        <f>'ADMININSTRACIÓN DIR - OBRA'!#REF!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'ADMININSTRACIÓN DIR - OBRA'!G522</f>
        <v>OBRA</v>
      </c>
      <c r="B519" s="814" t="str">
        <f>'ADMININSTRACIÓN DIR - OBRA'!B522</f>
        <v>2018-2021</v>
      </c>
      <c r="C519" s="16">
        <f>OBRA!K519</f>
        <v>2020</v>
      </c>
      <c r="D519" s="17" t="str">
        <f>OBRA!N519</f>
        <v>RAMO 33</v>
      </c>
      <c r="E519" s="479" t="s">
        <v>1427</v>
      </c>
      <c r="F519" s="163"/>
      <c r="G519" s="496" t="s">
        <v>3623</v>
      </c>
      <c r="H519" s="497" t="s">
        <v>3623</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3507</v>
      </c>
      <c r="O519" s="467"/>
      <c r="P519" s="6">
        <f>OBRA!T519</f>
        <v>44155</v>
      </c>
      <c r="Q519" s="4">
        <f>OBRA!S519</f>
        <v>287771.56</v>
      </c>
      <c r="R519" s="4"/>
      <c r="S519" s="5">
        <f>OBRA!U519</f>
        <v>44165</v>
      </c>
      <c r="T519" s="11">
        <f>OBRA!V519</f>
        <v>44180</v>
      </c>
      <c r="U519" s="53"/>
      <c r="V519" s="62" t="s">
        <v>1427</v>
      </c>
      <c r="W519" s="500" t="s">
        <v>3623</v>
      </c>
      <c r="X519" s="589" t="s">
        <v>3623</v>
      </c>
      <c r="Y519" s="341">
        <f>OBRA!AS519</f>
        <v>57554.3</v>
      </c>
      <c r="Z519" s="310"/>
      <c r="AA519" s="310"/>
      <c r="AB519" s="5"/>
      <c r="AC519" s="318">
        <f>OBRA!BX519</f>
        <v>0</v>
      </c>
      <c r="AD519" s="353"/>
      <c r="AF519"/>
      <c r="AG519"/>
      <c r="AH519"/>
      <c r="AI519"/>
      <c r="AJ519"/>
      <c r="AK519"/>
      <c r="AL519"/>
      <c r="AM519"/>
    </row>
    <row r="520" spans="1:39" ht="84.75" hidden="1" customHeight="1">
      <c r="A520" s="22" t="str">
        <f>'ADMININSTRACIÓN DIR - OBRA'!G523</f>
        <v>OBRA</v>
      </c>
      <c r="B520" s="814" t="str">
        <f>'ADMININSTRACIÓN DIR - OBRA'!B523</f>
        <v>2018-2021</v>
      </c>
      <c r="C520" s="16">
        <f>OBRA!K520</f>
        <v>2020</v>
      </c>
      <c r="D520" s="18" t="str">
        <f>OBRA!N520</f>
        <v>RESCATE AL PATRIMONIO</v>
      </c>
      <c r="E520" s="1032" t="s">
        <v>3525</v>
      </c>
      <c r="F520" s="497" t="s">
        <v>3526</v>
      </c>
      <c r="G520" s="496" t="s">
        <v>3526</v>
      </c>
      <c r="H520" s="497" t="s">
        <v>3526</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3508</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114.75" hidden="1" customHeight="1">
      <c r="A521" s="22" t="e">
        <f>'ADMININSTRACIÓN DIR - OBRA'!#REF!</f>
        <v>#REF!</v>
      </c>
      <c r="B521" s="814" t="e">
        <f>'ADMININSTRACIÓN DIR - OBRA'!#REF!</f>
        <v>#REF!</v>
      </c>
      <c r="C521" s="16">
        <f>OBRA!K521</f>
        <v>2020</v>
      </c>
      <c r="D521" s="17" t="str">
        <f>OBRA!N521</f>
        <v>RAMO 33</v>
      </c>
      <c r="E521" s="479" t="s">
        <v>1427</v>
      </c>
      <c r="F521" s="497" t="s">
        <v>3624</v>
      </c>
      <c r="G521" s="511"/>
      <c r="H521" s="497" t="s">
        <v>3624</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3508</v>
      </c>
      <c r="O521" s="505"/>
      <c r="P521" s="6">
        <f>OBRA!T521</f>
        <v>44168</v>
      </c>
      <c r="Q521" s="4">
        <f>OBRA!S521</f>
        <v>914194.81</v>
      </c>
      <c r="R521" s="4"/>
      <c r="S521" s="5">
        <f>OBRA!U521</f>
        <v>44169</v>
      </c>
      <c r="T521" s="11">
        <f>OBRA!V521</f>
        <v>44180</v>
      </c>
      <c r="U521" s="53"/>
      <c r="V521" s="62" t="s">
        <v>1427</v>
      </c>
      <c r="W521" s="500" t="s">
        <v>3624</v>
      </c>
      <c r="X521" s="589" t="s">
        <v>3624</v>
      </c>
      <c r="Y521" s="341">
        <f>OBRA!AS521</f>
        <v>411389.14999999997</v>
      </c>
      <c r="Z521" s="310"/>
      <c r="AA521" s="310"/>
      <c r="AB521" s="5"/>
      <c r="AC521" s="318">
        <f>OBRA!BX521</f>
        <v>0</v>
      </c>
      <c r="AD521" s="353"/>
      <c r="AF521"/>
      <c r="AG521"/>
      <c r="AH521"/>
      <c r="AI521"/>
      <c r="AJ521"/>
      <c r="AK521"/>
      <c r="AL521"/>
      <c r="AM521"/>
    </row>
    <row r="522" spans="1:39" ht="83.25" hidden="1" customHeight="1">
      <c r="A522" s="22" t="str">
        <f>'ADMININSTRACIÓN DIR - OBRA'!G524</f>
        <v>OBRA</v>
      </c>
      <c r="B522" s="814" t="str">
        <f>'ADMININSTRACIÓN DIR - OBRA'!B524</f>
        <v>2018-2021</v>
      </c>
      <c r="C522" s="16">
        <f>OBRA!K522</f>
        <v>2020</v>
      </c>
      <c r="D522" s="17" t="str">
        <f>OBRA!N522</f>
        <v>RASTRO DIGNO</v>
      </c>
      <c r="E522" s="1032" t="s">
        <v>3525</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3508</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'ADMININSTRACIÓN DIR - OBRA'!G525</f>
        <v>OBRA</v>
      </c>
      <c r="B523" s="814" t="str">
        <f>'ADMININSTRACIÓN DIR - OBRA'!B525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'ADMININSTRACIÓN DIR - OBRA'!G526</f>
        <v>OBRA</v>
      </c>
      <c r="B524" s="814" t="str">
        <f>'ADMININSTRACIÓN DIR - OBRA'!B526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3508</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'ADMININSTRACIÓN DIR - OBRA'!G527</f>
        <v>OBRA</v>
      </c>
      <c r="B525" s="814" t="str">
        <f>'ADMININSTRACIÓN DIR - OBRA'!B527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3508</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e">
        <f>'ADMININSTRACIÓN DIR - OBRA'!#REF!</f>
        <v>#REF!</v>
      </c>
      <c r="B526" s="814" t="e">
        <f>'ADMININSTRACIÓN DIR - OBRA'!#REF!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'ADMININSTRACIÓN DIR - OBRA'!G529</f>
        <v>OBRA</v>
      </c>
      <c r="B527" s="814" t="str">
        <f>'ADMININSTRACIÓN DIR - OBRA'!B529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'ADMININSTRACIÓN DIR - OBRA'!G530</f>
        <v>OBRA</v>
      </c>
      <c r="B528" s="814" t="str">
        <f>'ADMININSTRACIÓN DIR - OBRA'!B530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'ADMININSTRACIÓN DIR - OBRA'!G531</f>
        <v>OBRA</v>
      </c>
      <c r="B529" s="814" t="str">
        <f>'ADMININSTRACIÓN DIR - OBRA'!B531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'ADMININSTRACIÓN DIR - OBRA'!G532</f>
        <v>OBRA</v>
      </c>
      <c r="B530" s="814" t="str">
        <f>'ADMININSTRACIÓN DIR - OBRA'!B532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'ADMININSTRACIÓN DIR - OBRA'!G533</f>
        <v>OBRA</v>
      </c>
      <c r="B531" s="814" t="str">
        <f>'ADMININSTRACIÓN DIR - OBRA'!B533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'ADMININSTRACIÓN DIR - OBRA'!G534</f>
        <v>OBRA</v>
      </c>
      <c r="B532" s="814" t="str">
        <f>'ADMININSTRACIÓN DIR - OBRA'!B534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'ADMININSTRACIÓN DIR - OBRA'!G535</f>
        <v>OBRA</v>
      </c>
      <c r="B533" s="814" t="str">
        <f>'ADMININSTRACIÓN DIR - OBRA'!B535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'ADMININSTRACIÓN DIR - OBRA'!G536</f>
        <v>OBRA</v>
      </c>
      <c r="B534" s="814" t="str">
        <f>'ADMININSTRACIÓN DIR - OBRA'!B536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'ADMININSTRACIÓN DIR - OBRA'!G537</f>
        <v>OBRA</v>
      </c>
      <c r="B535" s="814" t="str">
        <f>'ADMININSTRACIÓN DIR - OBRA'!B537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'ADMININSTRACIÓN DIR - OBRA'!G539</f>
        <v>OBRA</v>
      </c>
      <c r="B536" s="814" t="str">
        <f>'ADMININSTRACIÓN DIR - OBRA'!B539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'ADMININSTRACIÓN DIR - OBRA'!G540</f>
        <v>OBRA</v>
      </c>
      <c r="B537" s="814" t="str">
        <f>'ADMININSTRACIÓN DIR - OBRA'!B540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'ADMININSTRACIÓN DIR - OBRA'!G541</f>
        <v>OBRA</v>
      </c>
      <c r="B538" s="814" t="str">
        <f>'ADMININSTRACIÓN DIR - OBRA'!B541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3818</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'ADMININSTRACIÓN DIR - OBRA'!G542</f>
        <v>OBRA</v>
      </c>
      <c r="B539" s="814" t="str">
        <f>'ADMININSTRACIÓN DIR - OBRA'!B542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3818</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'ADMININSTRACIÓN DIR - OBRA'!G543</f>
        <v>OBRA</v>
      </c>
      <c r="B540" s="814" t="str">
        <f>'ADMININSTRACIÓN DIR - OBRA'!B543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3818</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'ADMININSTRACIÓN DIR - OBRA'!G544</f>
        <v>OBRA</v>
      </c>
      <c r="B541" s="814" t="str">
        <f>'ADMININSTRACIÓN DIR - OBRA'!B544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3818</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'ADMININSTRACIÓN DIR - OBRA'!G545</f>
        <v>OBRA</v>
      </c>
      <c r="B542" s="814" t="str">
        <f>'ADMININSTRACIÓN DIR - OBRA'!B545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3818</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'ADMININSTRACIÓN DIR - OBRA'!G546</f>
        <v>OBRA</v>
      </c>
      <c r="B543" s="814" t="str">
        <f>'ADMININSTRACIÓN DIR - OBRA'!B546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3818</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'ADMININSTRACIÓN DIR - OBRA'!G547</f>
        <v>OBRA</v>
      </c>
      <c r="B544" s="814" t="str">
        <f>'ADMININSTRACIÓN DIR - OBRA'!B547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3818</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'ADMININSTRACIÓN DIR - OBRA'!G548</f>
        <v>0</v>
      </c>
      <c r="B545" s="814" t="str">
        <f>'ADMININSTRACIÓN DIR - OBRA'!B548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3818</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tr">
        <f>'ADMININSTRACIÓN DIR - OBRA'!G549</f>
        <v>SERVICIO</v>
      </c>
      <c r="B546" s="814" t="str">
        <f>'ADMININSTRACIÓN DIR - OBRA'!B549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3820</v>
      </c>
      <c r="O546" s="505"/>
      <c r="P546" s="6">
        <f>OBRA!T547</f>
        <v>44204</v>
      </c>
      <c r="Q546" s="4">
        <f>OBRA!S547</f>
        <v>45000</v>
      </c>
      <c r="R546" s="79" t="s">
        <v>3957</v>
      </c>
      <c r="S546" s="5">
        <f>OBRA!U547</f>
        <v>44208</v>
      </c>
      <c r="T546" s="11">
        <f>OBRA!V547</f>
        <v>44298</v>
      </c>
      <c r="U546" s="208" t="s">
        <v>5624</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tr">
        <f>'ADMININSTRACIÓN DIR - OBRA'!G550</f>
        <v>SERVICIO</v>
      </c>
      <c r="B547" s="814" t="str">
        <f>'ADMININSTRACIÓN DIR - OBRA'!B550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3820</v>
      </c>
      <c r="O547" s="505"/>
      <c r="P547" s="6">
        <f>OBRA!T548</f>
        <v>44224</v>
      </c>
      <c r="Q547" s="4">
        <f>OBRA!S548</f>
        <v>64960</v>
      </c>
      <c r="R547" s="79" t="s">
        <v>3957</v>
      </c>
      <c r="S547" s="5">
        <f>OBRA!U548</f>
        <v>44228</v>
      </c>
      <c r="T547" s="11">
        <f>OBRA!V548</f>
        <v>44255</v>
      </c>
      <c r="U547" s="208" t="s">
        <v>5624</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tr">
        <f>'ADMININSTRACIÓN DIR - OBRA'!G551</f>
        <v>SERVICIO</v>
      </c>
      <c r="B548" s="814" t="str">
        <f>'ADMININSTRACIÓN DIR - OBRA'!B551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3818</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tr">
        <f>'ADMININSTRACIÓN DIR - OBRA'!G552</f>
        <v>SERVICIO</v>
      </c>
      <c r="B549" s="814" t="str">
        <f>'ADMININSTRACIÓN DIR - OBRA'!B552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3820</v>
      </c>
      <c r="O549" s="505"/>
      <c r="P549" s="6">
        <f>OBRA!T550</f>
        <v>44227</v>
      </c>
      <c r="Q549" s="4">
        <f>OBRA!S550</f>
        <v>580</v>
      </c>
      <c r="R549" s="79" t="s">
        <v>2297</v>
      </c>
      <c r="S549" s="5" t="str">
        <f>OBRA!U550</f>
        <v>-</v>
      </c>
      <c r="T549" s="11" t="str">
        <f>OBRA!V550</f>
        <v>-</v>
      </c>
      <c r="U549" s="208" t="s">
        <v>5624</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tr">
        <f>'ADMININSTRACIÓN DIR - OBRA'!G553</f>
        <v>SERVICIO</v>
      </c>
      <c r="B550" s="814" t="str">
        <f>'ADMININSTRACIÓN DIR - OBRA'!B553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3820</v>
      </c>
      <c r="O550" s="505"/>
      <c r="P550" s="6">
        <f>OBRA!T551</f>
        <v>44227</v>
      </c>
      <c r="Q550" s="4">
        <f>OBRA!S551</f>
        <v>696</v>
      </c>
      <c r="R550" s="79" t="s">
        <v>2465</v>
      </c>
      <c r="S550" s="5" t="str">
        <f>OBRA!U551</f>
        <v>-</v>
      </c>
      <c r="T550" s="11" t="str">
        <f>OBRA!V551</f>
        <v>-</v>
      </c>
      <c r="U550" s="208" t="s">
        <v>5624</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tr">
        <f>'ADMININSTRACIÓN DIR - OBRA'!G554</f>
        <v>SERVICIO</v>
      </c>
      <c r="B551" s="814" t="str">
        <f>'ADMININSTRACIÓN DIR - OBRA'!B554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3820</v>
      </c>
      <c r="O551" s="505"/>
      <c r="P551" s="6">
        <f>OBRA!T552</f>
        <v>44263</v>
      </c>
      <c r="Q551" s="4">
        <f>OBRA!S552</f>
        <v>23200</v>
      </c>
      <c r="R551" s="79" t="s">
        <v>3957</v>
      </c>
      <c r="S551" s="5" t="str">
        <f>OBRA!U552</f>
        <v>-</v>
      </c>
      <c r="T551" s="11" t="str">
        <f>OBRA!V552</f>
        <v>-</v>
      </c>
      <c r="U551" s="208" t="s">
        <v>5624</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tr">
        <f>'ADMININSTRACIÓN DIR - OBRA'!G555</f>
        <v>SERVICIO</v>
      </c>
      <c r="B552" s="814" t="str">
        <f>'ADMININSTRACIÓN DIR - OBRA'!B555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3820</v>
      </c>
      <c r="O552" s="505"/>
      <c r="P552" s="6">
        <f>OBRA!T553</f>
        <v>44263</v>
      </c>
      <c r="Q552" s="4">
        <f>OBRA!S553</f>
        <v>23200</v>
      </c>
      <c r="R552" s="79" t="s">
        <v>3957</v>
      </c>
      <c r="S552" s="5" t="str">
        <f>OBRA!U553</f>
        <v>-</v>
      </c>
      <c r="T552" s="11" t="str">
        <f>OBRA!V553</f>
        <v>-</v>
      </c>
      <c r="U552" s="208" t="s">
        <v>5624</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tr">
        <f>'ADMININSTRACIÓN DIR - OBRA'!G556</f>
        <v>SERVICIO</v>
      </c>
      <c r="B553" s="814" t="str">
        <f>'ADMININSTRACIÓN DIR - OBRA'!B556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3820</v>
      </c>
      <c r="O553" s="505"/>
      <c r="P553" s="6">
        <f>OBRA!T554</f>
        <v>44364</v>
      </c>
      <c r="Q553" s="4">
        <f>OBRA!S554</f>
        <v>4686.3999999999996</v>
      </c>
      <c r="R553" s="79" t="s">
        <v>5594</v>
      </c>
      <c r="S553" s="5" t="str">
        <f>OBRA!U554</f>
        <v>-</v>
      </c>
      <c r="T553" s="11" t="str">
        <f>OBRA!V554</f>
        <v>-</v>
      </c>
      <c r="U553" s="208" t="s">
        <v>5624</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tr">
        <f>'ADMININSTRACIÓN DIR - OBRA'!G557</f>
        <v>SERVICIO</v>
      </c>
      <c r="B554" s="814" t="str">
        <f>'ADMININSTRACIÓN DIR - OBRA'!B557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3820</v>
      </c>
      <c r="O554" s="505"/>
      <c r="P554" s="6">
        <f>OBRA!T555</f>
        <v>44364</v>
      </c>
      <c r="Q554" s="4">
        <f>OBRA!S555</f>
        <v>554.48</v>
      </c>
      <c r="R554" s="79" t="s">
        <v>2297</v>
      </c>
      <c r="S554" s="5" t="str">
        <f>OBRA!U555</f>
        <v>-</v>
      </c>
      <c r="T554" s="11" t="str">
        <f>OBRA!V555</f>
        <v>-</v>
      </c>
      <c r="U554" s="208" t="s">
        <v>5624</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tr">
        <f>'ADMININSTRACIÓN DIR - OBRA'!G558</f>
        <v>SERVICIO</v>
      </c>
      <c r="B555" s="814" t="str">
        <f>'ADMININSTRACIÓN DIR - OBRA'!B558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3821</v>
      </c>
      <c r="O555" s="505"/>
      <c r="P555" s="6">
        <f>OBRA!T556</f>
        <v>44204</v>
      </c>
      <c r="Q555" s="4">
        <f>OBRA!S556</f>
        <v>11600</v>
      </c>
      <c r="R555" s="79" t="s">
        <v>67</v>
      </c>
      <c r="S555" s="5">
        <f>OBRA!U556</f>
        <v>44207</v>
      </c>
      <c r="T555" s="11">
        <f>OBRA!V556</f>
        <v>44214</v>
      </c>
      <c r="U555" s="1381" t="s">
        <v>5623</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tr">
        <f>'ADMININSTRACIÓN DIR - OBRA'!G559</f>
        <v>SERVICIO</v>
      </c>
      <c r="B556" s="814" t="str">
        <f>'ADMININSTRACIÓN DIR - OBRA'!B559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3818</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tr">
        <f>'ADMININSTRACIÓN DIR - OBRA'!G560</f>
        <v>SERVICIO</v>
      </c>
      <c r="B557" s="814" t="str">
        <f>'ADMININSTRACIÓN DIR - OBRA'!B560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3821</v>
      </c>
      <c r="O557" s="505"/>
      <c r="P557" s="6">
        <f>OBRA!T558</f>
        <v>44212</v>
      </c>
      <c r="Q557" s="4">
        <f>OBRA!S558</f>
        <v>23200</v>
      </c>
      <c r="R557" s="79" t="s">
        <v>67</v>
      </c>
      <c r="S557" s="5" t="str">
        <f>OBRA!U558</f>
        <v>-</v>
      </c>
      <c r="T557" s="11" t="str">
        <f>OBRA!V558</f>
        <v>-</v>
      </c>
      <c r="U557" s="1381" t="s">
        <v>5623</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tr">
        <f>'ADMININSTRACIÓN DIR - OBRA'!G561</f>
        <v>SERVICIO</v>
      </c>
      <c r="B558" s="814" t="str">
        <f>'ADMININSTRACIÓN DIR - OBRA'!B561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3818</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tr">
        <f>'ADMININSTRACIÓN DIR - OBRA'!G562</f>
        <v>SERVICIO</v>
      </c>
      <c r="B559" s="814" t="str">
        <f>'ADMININSTRACIÓN DIR - OBRA'!B562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3821</v>
      </c>
      <c r="O559" s="505"/>
      <c r="P559" s="6">
        <f>OBRA!T560</f>
        <v>44400</v>
      </c>
      <c r="Q559" s="4">
        <f>OBRA!S560</f>
        <v>16239.999999999998</v>
      </c>
      <c r="R559" s="79" t="s">
        <v>67</v>
      </c>
      <c r="S559" s="5">
        <f>OBRA!U560</f>
        <v>0</v>
      </c>
      <c r="T559" s="11">
        <f>OBRA!V560</f>
        <v>0</v>
      </c>
      <c r="U559" s="1381" t="s">
        <v>5623</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tr">
        <f>'ADMININSTRACIÓN DIR - OBRA'!G563</f>
        <v>SERVICIO</v>
      </c>
      <c r="B560" s="814" t="str">
        <f>'ADMININSTRACIÓN DIR - OBRA'!B563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3818</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tr">
        <f>'ADMININSTRACIÓN DIR - OBRA'!G564</f>
        <v>SERVICIO</v>
      </c>
      <c r="B561" s="814" t="str">
        <f>'ADMININSTRACIÓN DIR - OBRA'!B564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3821</v>
      </c>
      <c r="O561" s="505"/>
      <c r="P561" s="6">
        <f>OBRA!T562</f>
        <v>44441</v>
      </c>
      <c r="Q561" s="4">
        <f>OBRA!S562</f>
        <v>16240</v>
      </c>
      <c r="R561" s="79" t="s">
        <v>67</v>
      </c>
      <c r="S561" s="5" t="str">
        <f>OBRA!U562</f>
        <v>-</v>
      </c>
      <c r="T561" s="11" t="str">
        <f>OBRA!V562</f>
        <v>-</v>
      </c>
      <c r="U561" s="1381" t="s">
        <v>5623</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tr">
        <f>'ADMININSTRACIÓN DIR - OBRA'!G565</f>
        <v>SERVICIO</v>
      </c>
      <c r="B562" s="814" t="str">
        <f>'ADMININSTRACIÓN DIR - OBRA'!B565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3821</v>
      </c>
      <c r="O562" s="505"/>
      <c r="P562" s="6">
        <f>OBRA!T563</f>
        <v>44435</v>
      </c>
      <c r="Q562" s="4">
        <f>OBRA!S563</f>
        <v>226407.64</v>
      </c>
      <c r="R562" s="79" t="s">
        <v>67</v>
      </c>
      <c r="S562" s="5" t="str">
        <f>OBRA!U563</f>
        <v>-</v>
      </c>
      <c r="T562" s="11" t="str">
        <f>OBRA!V563</f>
        <v>-</v>
      </c>
      <c r="U562" s="1381" t="s">
        <v>5623</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tr">
        <f>'ADMININSTRACIÓN DIR - OBRA'!G566</f>
        <v>SERVICIO</v>
      </c>
      <c r="B563" s="814" t="str">
        <f>'ADMININSTRACIÓN DIR - OBRA'!B566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3821</v>
      </c>
      <c r="O563" s="505"/>
      <c r="P563" s="6">
        <f>OBRA!T564</f>
        <v>44432</v>
      </c>
      <c r="Q563" s="4">
        <f>OBRA!S564</f>
        <v>91300</v>
      </c>
      <c r="R563" s="79" t="s">
        <v>67</v>
      </c>
      <c r="S563" s="5" t="str">
        <f>OBRA!U564</f>
        <v>-</v>
      </c>
      <c r="T563" s="11" t="str">
        <f>OBRA!V564</f>
        <v>-</v>
      </c>
      <c r="U563" s="1381" t="s">
        <v>5623</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'ADMININSTRACIÓN DIR - OBRA'!G567</f>
        <v>OBRA</v>
      </c>
      <c r="B564" s="814" t="str">
        <f>'ADMININSTRACIÓN DIR - OBRA'!B567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'ADMININSTRACIÓN DIR - OBRA'!G568</f>
        <v>OBRA</v>
      </c>
      <c r="B565" s="814" t="str">
        <f>'ADMININSTRACIÓN DIR - OBRA'!B568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'ADMININSTRACIÓN DIR - OBRA'!G569</f>
        <v>OBRA</v>
      </c>
      <c r="B566" s="814" t="str">
        <f>'ADMININSTRACIÓN DIR - OBRA'!B569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'ADMININSTRACIÓN DIR - OBRA'!G570</f>
        <v>OBRA</v>
      </c>
      <c r="B567" s="814" t="str">
        <f>'ADMININSTRACIÓN DIR - OBRA'!B570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'ADMININSTRACIÓN DIR - OBRA'!G571</f>
        <v>OBRA</v>
      </c>
      <c r="B568" s="814" t="str">
        <f>'ADMININSTRACIÓN DIR - OBRA'!B571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'ADMININSTRACIÓN DIR - OBRA'!G572</f>
        <v>OBRA</v>
      </c>
      <c r="B569" s="814" t="str">
        <f>'ADMININSTRACIÓN DIR - OBRA'!B572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'ADMININSTRACIÓN DIR - OBRA'!G573</f>
        <v>OBRA</v>
      </c>
      <c r="B570" s="814" t="str">
        <f>'ADMININSTRACIÓN DIR - OBRA'!B573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'ADMININSTRACIÓN DIR - OBRA'!G574</f>
        <v>OBRA</v>
      </c>
      <c r="B571" s="814" t="str">
        <f>'ADMININSTRACIÓN DIR - OBRA'!B574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'ADMININSTRACIÓN DIR - OBRA'!G575</f>
        <v>OBRA</v>
      </c>
      <c r="B572" s="814" t="str">
        <f>'ADMININSTRACIÓN DIR - OBRA'!B575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'ADMININSTRACIÓN DIR - OBRA'!G576</f>
        <v>OBRA</v>
      </c>
      <c r="B573" s="814" t="str">
        <f>'ADMININSTRACIÓN DIR - OBRA'!B576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'ADMININSTRACIÓN DIR - OBRA'!G577</f>
        <v>OBRA</v>
      </c>
      <c r="B574" s="814" t="str">
        <f>'ADMININSTRACIÓN DIR - OBRA'!B577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'ADMININSTRACIÓN DIR - OBRA'!G578</f>
        <v>OBRA</v>
      </c>
      <c r="B575" s="814" t="str">
        <f>'ADMININSTRACIÓN DIR - OBRA'!B578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'ADMININSTRACIÓN DIR - OBRA'!G579</f>
        <v>OBRA</v>
      </c>
      <c r="B576" s="814" t="str">
        <f>'ADMININSTRACIÓN DIR - OBRA'!B579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'ADMININSTRACIÓN DIR - OBRA'!G580</f>
        <v>OBRA</v>
      </c>
      <c r="B577" s="814" t="str">
        <f>'ADMININSTRACIÓN DIR - OBRA'!B580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'ADMININSTRACIÓN DIR - OBRA'!G581</f>
        <v>OBRA</v>
      </c>
      <c r="B578" s="814" t="str">
        <f>'ADMININSTRACIÓN DIR - OBRA'!B581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'ADMININSTRACIÓN DIR - OBRA'!G582</f>
        <v>OBRA</v>
      </c>
      <c r="B579" s="814" t="str">
        <f>'ADMININSTRACIÓN DIR - OBRA'!B582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'ADMININSTRACIÓN DIR - OBRA'!G583</f>
        <v>OBRA</v>
      </c>
      <c r="B580" s="814" t="str">
        <f>'ADMININSTRACIÓN DIR - OBRA'!B583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'ADMININSTRACIÓN DIR - OBRA'!G584</f>
        <v>OBRA</v>
      </c>
      <c r="B581" s="814" t="str">
        <f>'ADMININSTRACIÓN DIR - OBRA'!B584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'ADMININSTRACIÓN DIR - OBRA'!B585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2209</v>
      </c>
      <c r="B583" s="814" t="str">
        <f>'ADMININSTRACIÓN DIR - OBRA'!B587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3821</v>
      </c>
      <c r="O583" s="505"/>
      <c r="P583" s="6">
        <f>OBRA!T585</f>
        <v>44512</v>
      </c>
      <c r="Q583" s="4">
        <f>OBRA!S585</f>
        <v>42920</v>
      </c>
      <c r="R583" s="79" t="s">
        <v>67</v>
      </c>
      <c r="S583" s="5" t="str">
        <f>OBRA!U585</f>
        <v>-</v>
      </c>
      <c r="T583" s="11" t="str">
        <f>OBRA!V585</f>
        <v>-</v>
      </c>
      <c r="U583" s="1381" t="s">
        <v>5623</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2209</v>
      </c>
      <c r="B584" s="814" t="str">
        <f>'ADMININSTRACIÓN DIR - OBRA'!B588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3821</v>
      </c>
      <c r="O584" s="505"/>
      <c r="P584" s="6">
        <f>OBRA!T586</f>
        <v>44512</v>
      </c>
      <c r="Q584" s="4">
        <f>OBRA!S586</f>
        <v>5800</v>
      </c>
      <c r="R584" s="79" t="s">
        <v>67</v>
      </c>
      <c r="S584" s="5" t="str">
        <f>OBRA!U586</f>
        <v>-</v>
      </c>
      <c r="T584" s="11" t="str">
        <f>OBRA!V586</f>
        <v>-</v>
      </c>
      <c r="U584" s="1381" t="s">
        <v>5623</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2209</v>
      </c>
      <c r="B585" s="814" t="str">
        <f>'ADMININSTRACIÓN DIR - OBRA'!B589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3821</v>
      </c>
      <c r="O585" s="505"/>
      <c r="P585" s="6">
        <f>OBRA!T587</f>
        <v>44515</v>
      </c>
      <c r="Q585" s="4">
        <f>OBRA!S587</f>
        <v>34800</v>
      </c>
      <c r="R585" s="79" t="s">
        <v>67</v>
      </c>
      <c r="S585" s="5" t="str">
        <f>OBRA!U587</f>
        <v>-</v>
      </c>
      <c r="T585" s="11" t="str">
        <f>OBRA!V587</f>
        <v>-</v>
      </c>
      <c r="U585" s="1381" t="s">
        <v>5623</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2209</v>
      </c>
      <c r="B586" s="814" t="str">
        <f>'ADMININSTRACIÓN DIR - OBRA'!B590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3821</v>
      </c>
      <c r="O586" s="505"/>
      <c r="P586" s="6">
        <f>OBRA!T588</f>
        <v>44533</v>
      </c>
      <c r="Q586" s="4">
        <f>OBRA!S588</f>
        <v>28999.999999999996</v>
      </c>
      <c r="R586" s="79" t="s">
        <v>67</v>
      </c>
      <c r="S586" s="5">
        <f>OBRA!U588</f>
        <v>44543</v>
      </c>
      <c r="T586" s="11">
        <f>OBRA!V588</f>
        <v>44546</v>
      </c>
      <c r="U586" s="1381" t="s">
        <v>5623</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'ADMININSTRACIÓN DIR - OBRA'!B591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'ADMININSTRACIÓN DIR - OBRA'!B592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'ADMININSTRACIÓN DIR - OBRA'!B593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'ADMININSTRACIÓN DIR - OBRA'!B594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'ADMININSTRACIÓN DIR - OBRA'!B595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'ADMININSTRACIÓN DIR - OBRA'!B596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'ADMININSTRACIÓN DIR - OBRA'!B597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'ADMININSTRACIÓN DIR - OBRA'!B598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'ADMININSTRACIÓN DIR - OBRA'!B599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'ADMININSTRACIÓN DIR - OBRA'!B600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'ADMININSTRACIÓN DIR - OBRA'!B601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'ADMININSTRACIÓN DIR - OBRA'!B737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'ADMININSTRACIÓN DIR - OBRA'!B905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'ADMININSTRACIÓN DIR - OBRA'!B906</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'ADMININSTRACIÓN DIR - OBRA'!B907</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'ADMININSTRACIÓN DIR - OBRA'!B908</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'ADMININSTRACIÓN DIR - OBRA'!B909</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c r="A604" s="22" t="s">
        <v>2209</v>
      </c>
      <c r="B604" s="814">
        <f>'ADMININSTRACIÓN DIR - OBRA'!B910</f>
        <v>0</v>
      </c>
      <c r="C604" s="16">
        <f>OBRA!K606</f>
        <v>2022</v>
      </c>
      <c r="D604" s="17" t="str">
        <f>OBRA!N606</f>
        <v>CUENTA CORRIENTE</v>
      </c>
      <c r="E604" s="479" t="s">
        <v>1427</v>
      </c>
      <c r="F604" s="1129"/>
      <c r="G604" s="220"/>
      <c r="H604" s="1129"/>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4510</v>
      </c>
      <c r="O604" s="505"/>
      <c r="P604" s="6">
        <f>OBRA!T606</f>
        <v>44572</v>
      </c>
      <c r="Q604" s="4">
        <f>OBRA!S606</f>
        <v>69600</v>
      </c>
      <c r="R604" s="79" t="s">
        <v>67</v>
      </c>
      <c r="S604" s="5">
        <f>OBRA!U606</f>
        <v>44578</v>
      </c>
      <c r="T604" s="11">
        <f>OBRA!V606</f>
        <v>44581</v>
      </c>
      <c r="U604" s="1381" t="s">
        <v>5623</v>
      </c>
      <c r="V604" s="378" t="s">
        <v>1427</v>
      </c>
      <c r="W604" s="509"/>
      <c r="X604" s="510"/>
      <c r="Y604" s="1005" t="s">
        <v>1176</v>
      </c>
      <c r="Z604" s="310"/>
      <c r="AA604" s="310"/>
      <c r="AB604" s="5"/>
      <c r="AC604" s="318">
        <f>OBRA!BX606</f>
        <v>0</v>
      </c>
      <c r="AD604" s="353"/>
      <c r="AF604"/>
      <c r="AG604"/>
      <c r="AH604"/>
      <c r="AI604"/>
      <c r="AJ604"/>
      <c r="AK604"/>
      <c r="AL604"/>
      <c r="AM604"/>
    </row>
    <row r="605" spans="1:39" ht="15" hidden="1" customHeight="1">
      <c r="A605" s="22" t="s">
        <v>2209</v>
      </c>
      <c r="B605" s="814">
        <f>'ADMININSTRACIÓN DIR - OBRA'!B911</f>
        <v>0</v>
      </c>
      <c r="C605" s="16">
        <f>OBRA!K607</f>
        <v>2022</v>
      </c>
      <c r="D605" s="17" t="str">
        <f>OBRA!N607</f>
        <v>CUENTA CORRIENTE</v>
      </c>
      <c r="E605" s="479" t="s">
        <v>1427</v>
      </c>
      <c r="F605" s="353" t="s">
        <v>1427</v>
      </c>
      <c r="G605" s="220"/>
      <c r="H605" s="353" t="s">
        <v>1427</v>
      </c>
      <c r="I605" s="54" t="str">
        <f>OBRA!X607</f>
        <v>PEDRO MACHUCA SAAVEDRA</v>
      </c>
      <c r="J605" s="55" t="str">
        <f>OBRA!Y607</f>
        <v>LIC. SALVADOR CONTRERAS OLGUÍN</v>
      </c>
      <c r="K605" s="19"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544"/>
      <c r="O605" s="544"/>
      <c r="P605" s="6">
        <f>OBRA!T607</f>
        <v>44575</v>
      </c>
      <c r="Q605" s="4">
        <f>OBRA!S607</f>
        <v>12000</v>
      </c>
      <c r="R605" s="1045"/>
      <c r="S605" s="5">
        <f>OBRA!U607</f>
        <v>44578</v>
      </c>
      <c r="T605" s="11">
        <f>OBRA!V607</f>
        <v>44582</v>
      </c>
      <c r="U605" s="208" t="s">
        <v>3818</v>
      </c>
      <c r="V605" s="378" t="s">
        <v>1427</v>
      </c>
      <c r="W605" s="310" t="s">
        <v>1427</v>
      </c>
      <c r="X605" s="510"/>
      <c r="Y605" s="280">
        <f>OBRA!AS607</f>
        <v>0</v>
      </c>
      <c r="Z605" s="310"/>
      <c r="AA605" s="310"/>
      <c r="AB605" s="5"/>
      <c r="AC605" s="318">
        <f>OBRA!BX607</f>
        <v>0</v>
      </c>
      <c r="AD605" s="353"/>
      <c r="AF605"/>
      <c r="AG605"/>
      <c r="AH605"/>
      <c r="AI605"/>
      <c r="AJ605"/>
      <c r="AK605"/>
      <c r="AL605"/>
      <c r="AM605"/>
    </row>
    <row r="606" spans="1:39" ht="157.5" customHeight="1">
      <c r="A606" s="22" t="s">
        <v>2209</v>
      </c>
      <c r="B606" s="814">
        <f>'ADMININSTRACIÓN DIR - OBRA'!B912</f>
        <v>0</v>
      </c>
      <c r="C606" s="16">
        <f>OBRA!K608</f>
        <v>2022</v>
      </c>
      <c r="D606" s="17" t="str">
        <f>OBRA!N608</f>
        <v>CUENTA CORRIENTE</v>
      </c>
      <c r="E606" s="479" t="s">
        <v>1427</v>
      </c>
      <c r="F606" s="1129"/>
      <c r="G606" s="220"/>
      <c r="H606" s="1129"/>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4510</v>
      </c>
      <c r="O606" s="505"/>
      <c r="P606" s="6">
        <f>OBRA!T608</f>
        <v>44592</v>
      </c>
      <c r="Q606" s="4" t="str">
        <f>OBRA!S608</f>
        <v>vie</v>
      </c>
      <c r="R606" s="79" t="s">
        <v>67</v>
      </c>
      <c r="S606" s="5">
        <f>OBRA!U608</f>
        <v>44593</v>
      </c>
      <c r="T606" s="11">
        <f>OBRA!V608</f>
        <v>44607</v>
      </c>
      <c r="U606" s="1381" t="s">
        <v>5623</v>
      </c>
      <c r="V606" s="378" t="s">
        <v>1427</v>
      </c>
      <c r="W606" s="509"/>
      <c r="X606" s="510"/>
      <c r="Y606" s="1005" t="s">
        <v>1176</v>
      </c>
      <c r="Z606" s="310"/>
      <c r="AA606" s="310"/>
      <c r="AB606" s="5"/>
      <c r="AC606" s="318">
        <f>OBRA!BX608</f>
        <v>0</v>
      </c>
      <c r="AD606" s="353"/>
      <c r="AF606"/>
      <c r="AG606"/>
      <c r="AH606"/>
      <c r="AI606"/>
      <c r="AJ606"/>
      <c r="AK606"/>
      <c r="AL606"/>
      <c r="AM606"/>
    </row>
    <row r="607" spans="1:39" ht="91.5" customHeight="1">
      <c r="A607" s="22" t="s">
        <v>2209</v>
      </c>
      <c r="B607" s="814">
        <f>'ADMININSTRACIÓN DIR - OBRA'!B913</f>
        <v>0</v>
      </c>
      <c r="C607" s="16">
        <f>OBRA!K609</f>
        <v>2022</v>
      </c>
      <c r="D607" s="17" t="str">
        <f>OBRA!N609</f>
        <v>CUENTA CORRIENTE</v>
      </c>
      <c r="E607" s="479" t="s">
        <v>1427</v>
      </c>
      <c r="F607" s="1129"/>
      <c r="G607" s="220"/>
      <c r="H607" s="1129"/>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4510</v>
      </c>
      <c r="O607" s="505"/>
      <c r="P607" s="6">
        <f>OBRA!T609</f>
        <v>44634</v>
      </c>
      <c r="Q607" s="4">
        <f>OBRA!S609</f>
        <v>10000.000400000001</v>
      </c>
      <c r="R607" s="79" t="s">
        <v>67</v>
      </c>
      <c r="S607" s="5" t="str">
        <f>OBRA!U609</f>
        <v>-</v>
      </c>
      <c r="T607" s="11" t="str">
        <f>OBRA!V609</f>
        <v>-</v>
      </c>
      <c r="U607" s="1381" t="s">
        <v>5623</v>
      </c>
      <c r="V607" s="378" t="s">
        <v>1427</v>
      </c>
      <c r="W607" s="509"/>
      <c r="X607" s="510"/>
      <c r="Y607" s="1005" t="s">
        <v>1176</v>
      </c>
      <c r="Z607" s="310"/>
      <c r="AA607" s="310"/>
      <c r="AB607" s="5"/>
      <c r="AC607" s="318">
        <f>OBRA!BX609</f>
        <v>0</v>
      </c>
      <c r="AD607" s="353"/>
      <c r="AF607"/>
      <c r="AG607"/>
      <c r="AH607"/>
      <c r="AI607"/>
      <c r="AJ607"/>
      <c r="AK607"/>
      <c r="AL607"/>
      <c r="AM607"/>
    </row>
    <row r="608" spans="1:39" ht="15" hidden="1" customHeight="1">
      <c r="A608" s="22" t="s">
        <v>2209</v>
      </c>
      <c r="B608" s="814" t="e">
        <f>'ADMININSTRACIÓN DIR - OBRA'!#REF!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3818</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2209</v>
      </c>
      <c r="B609" s="814" t="e">
        <f>'ADMININSTRACIÓN DIR - OBRA'!#REF!</f>
        <v>#REF!</v>
      </c>
      <c r="C609" s="16">
        <f>OBRA!K611</f>
        <v>2022</v>
      </c>
      <c r="D609" s="17" t="str">
        <f>OBRA!N611</f>
        <v>CUENTA CORRIENTE</v>
      </c>
      <c r="E609" s="479" t="s">
        <v>1427</v>
      </c>
      <c r="F609" s="1129"/>
      <c r="G609" s="220"/>
      <c r="H609" s="1129"/>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4510</v>
      </c>
      <c r="O609" s="505"/>
      <c r="P609" s="6">
        <f>OBRA!T611</f>
        <v>44634</v>
      </c>
      <c r="Q609" s="4">
        <f>OBRA!S611</f>
        <v>10000.000400000001</v>
      </c>
      <c r="R609" s="79" t="s">
        <v>67</v>
      </c>
      <c r="S609" s="5" t="str">
        <f>OBRA!U611</f>
        <v>-</v>
      </c>
      <c r="T609" s="11" t="str">
        <f>OBRA!V611</f>
        <v>-</v>
      </c>
      <c r="U609" s="1381" t="s">
        <v>5623</v>
      </c>
      <c r="V609" s="378" t="s">
        <v>1427</v>
      </c>
      <c r="W609" s="509"/>
      <c r="X609" s="510"/>
      <c r="Y609" s="1005" t="s">
        <v>1176</v>
      </c>
      <c r="Z609" s="310"/>
      <c r="AA609" s="310"/>
      <c r="AB609" s="5"/>
      <c r="AC609" s="318">
        <f>OBRA!BX611</f>
        <v>0</v>
      </c>
      <c r="AD609" s="353"/>
      <c r="AF609"/>
      <c r="AG609"/>
      <c r="AH609"/>
      <c r="AI609"/>
      <c r="AJ609"/>
      <c r="AK609"/>
      <c r="AL609"/>
      <c r="AM609"/>
    </row>
    <row r="610" spans="1:39" ht="12.75" hidden="1" customHeight="1">
      <c r="A610" s="22" t="s">
        <v>2209</v>
      </c>
      <c r="B610" s="814" t="e">
        <f>'ADMININSTRACIÓN DIR - OBRA'!#REF!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3818</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2209</v>
      </c>
      <c r="B611" s="814" t="e">
        <f>'ADMININSTRACIÓN DIR - OBRA'!#REF!</f>
        <v>#REF!</v>
      </c>
      <c r="C611" s="16">
        <f>OBRA!K613</f>
        <v>2022</v>
      </c>
      <c r="D611" s="17" t="str">
        <f>OBRA!N613</f>
        <v>CUENTA CORRIENTE</v>
      </c>
      <c r="E611" s="479" t="s">
        <v>1427</v>
      </c>
      <c r="F611" s="1129"/>
      <c r="G611" s="220"/>
      <c r="H611" s="1129"/>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4510</v>
      </c>
      <c r="O611" s="505"/>
      <c r="P611" s="6">
        <f>OBRA!T613</f>
        <v>44634</v>
      </c>
      <c r="Q611" s="4">
        <f>OBRA!S613</f>
        <v>7000.0199999999995</v>
      </c>
      <c r="R611" s="79" t="s">
        <v>67</v>
      </c>
      <c r="S611" s="5" t="str">
        <f>OBRA!U613</f>
        <v>-</v>
      </c>
      <c r="T611" s="11" t="str">
        <f>OBRA!V613</f>
        <v>-</v>
      </c>
      <c r="U611" s="1381" t="s">
        <v>5623</v>
      </c>
      <c r="V611" s="378" t="s">
        <v>1427</v>
      </c>
      <c r="W611" s="509"/>
      <c r="X611" s="510"/>
      <c r="Y611" s="1005" t="s">
        <v>1176</v>
      </c>
      <c r="Z611" s="310"/>
      <c r="AA611" s="310"/>
      <c r="AB611" s="5"/>
      <c r="AC611" s="318">
        <f>OBRA!BX613</f>
        <v>0</v>
      </c>
      <c r="AD611" s="353"/>
      <c r="AF611"/>
      <c r="AG611"/>
      <c r="AH611"/>
      <c r="AI611"/>
      <c r="AJ611"/>
      <c r="AK611"/>
      <c r="AL611"/>
      <c r="AM611"/>
    </row>
    <row r="612" spans="1:39" ht="93" customHeight="1">
      <c r="A612" s="22" t="s">
        <v>2209</v>
      </c>
      <c r="B612" s="814" t="e">
        <f>'ADMININSTRACIÓN DIR - OBRA'!#REF!</f>
        <v>#REF!</v>
      </c>
      <c r="C612" s="16">
        <f>OBRA!K614</f>
        <v>2022</v>
      </c>
      <c r="D612" s="17" t="str">
        <f>OBRA!N614</f>
        <v>CUENTA CORRIENTE</v>
      </c>
      <c r="E612" s="479" t="s">
        <v>1427</v>
      </c>
      <c r="F612" s="1129"/>
      <c r="G612" s="220"/>
      <c r="H612" s="1129"/>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4510</v>
      </c>
      <c r="O612" s="505"/>
      <c r="P612" s="6">
        <f>OBRA!T614</f>
        <v>44635</v>
      </c>
      <c r="Q612" s="4">
        <f>OBRA!S614</f>
        <v>15659.999999999998</v>
      </c>
      <c r="R612" s="79" t="s">
        <v>67</v>
      </c>
      <c r="S612" s="5" t="str">
        <f>OBRA!U614</f>
        <v>-</v>
      </c>
      <c r="T612" s="11" t="str">
        <f>OBRA!V614</f>
        <v>-</v>
      </c>
      <c r="U612" s="1381" t="s">
        <v>5623</v>
      </c>
      <c r="V612" s="378" t="s">
        <v>1427</v>
      </c>
      <c r="W612" s="509"/>
      <c r="X612" s="510"/>
      <c r="Y612" s="1005" t="s">
        <v>1176</v>
      </c>
      <c r="Z612" s="310"/>
      <c r="AA612" s="310"/>
      <c r="AB612" s="5"/>
      <c r="AC612" s="318">
        <f>OBRA!BX614</f>
        <v>0</v>
      </c>
      <c r="AD612" s="353"/>
      <c r="AF612"/>
      <c r="AG612"/>
      <c r="AH612"/>
      <c r="AI612"/>
      <c r="AJ612"/>
      <c r="AK612"/>
      <c r="AL612"/>
      <c r="AM612"/>
    </row>
    <row r="613" spans="1:39" ht="82.5" customHeight="1">
      <c r="A613" s="22" t="s">
        <v>2209</v>
      </c>
      <c r="B613" s="814" t="e">
        <f>'ADMININSTRACIÓN DIR - OBRA'!#REF!</f>
        <v>#REF!</v>
      </c>
      <c r="C613" s="16">
        <f>OBRA!K615</f>
        <v>2022</v>
      </c>
      <c r="D613" s="17" t="str">
        <f>OBRA!N615</f>
        <v>CUENTA CORRIENTE</v>
      </c>
      <c r="E613" s="479" t="s">
        <v>1427</v>
      </c>
      <c r="F613" s="1129"/>
      <c r="G613" s="220"/>
      <c r="H613" s="1129"/>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4510</v>
      </c>
      <c r="O613" s="505"/>
      <c r="P613" s="6">
        <f>OBRA!T615</f>
        <v>44658</v>
      </c>
      <c r="Q613" s="4">
        <f>OBRA!S615</f>
        <v>4000</v>
      </c>
      <c r="R613" s="79" t="s">
        <v>67</v>
      </c>
      <c r="S613" s="5">
        <f>OBRA!U615</f>
        <v>44660</v>
      </c>
      <c r="T613" s="11">
        <f>OBRA!V615</f>
        <v>44660</v>
      </c>
      <c r="U613" s="1381" t="s">
        <v>5623</v>
      </c>
      <c r="V613" s="378" t="s">
        <v>1427</v>
      </c>
      <c r="W613" s="509"/>
      <c r="X613" s="510"/>
      <c r="Y613" s="1005" t="s">
        <v>1176</v>
      </c>
      <c r="Z613" s="310"/>
      <c r="AA613" s="310"/>
      <c r="AB613" s="5"/>
      <c r="AC613" s="318">
        <f>OBRA!BX615</f>
        <v>0</v>
      </c>
      <c r="AD613" s="353"/>
      <c r="AF613"/>
      <c r="AG613"/>
      <c r="AH613"/>
      <c r="AI613"/>
      <c r="AJ613"/>
      <c r="AK613"/>
      <c r="AL613"/>
      <c r="AM613"/>
    </row>
    <row r="614" spans="1:39" ht="82.5" customHeight="1">
      <c r="A614" s="22" t="s">
        <v>2209</v>
      </c>
      <c r="B614" s="814" t="e">
        <f>'ADMININSTRACIÓN DIR - OBRA'!#REF!</f>
        <v>#REF!</v>
      </c>
      <c r="C614" s="16">
        <f>OBRA!K616</f>
        <v>2022</v>
      </c>
      <c r="D614" s="17" t="str">
        <f>OBRA!N616</f>
        <v>CUENTA CORRIENTE</v>
      </c>
      <c r="E614" s="479" t="s">
        <v>1427</v>
      </c>
      <c r="F614" s="1129"/>
      <c r="G614" s="220"/>
      <c r="H614" s="1129"/>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4511</v>
      </c>
      <c r="O614" s="505"/>
      <c r="P614" s="6">
        <f>OBRA!T616</f>
        <v>44690</v>
      </c>
      <c r="Q614" s="4">
        <f>OBRA!S616</f>
        <v>17400</v>
      </c>
      <c r="R614" s="79" t="s">
        <v>67</v>
      </c>
      <c r="S614" s="5">
        <f>OBRA!U616</f>
        <v>44693</v>
      </c>
      <c r="T614" s="11">
        <f>OBRA!V616</f>
        <v>44695</v>
      </c>
      <c r="U614" s="1381" t="s">
        <v>5623</v>
      </c>
      <c r="V614" s="378" t="s">
        <v>1427</v>
      </c>
      <c r="W614" s="509"/>
      <c r="X614" s="510"/>
      <c r="Y614" s="1005" t="s">
        <v>1176</v>
      </c>
      <c r="Z614" s="310"/>
      <c r="AA614" s="310"/>
      <c r="AB614" s="5"/>
      <c r="AC614" s="318">
        <f>OBRA!BX616</f>
        <v>0</v>
      </c>
      <c r="AD614" s="353"/>
      <c r="AF614"/>
      <c r="AG614"/>
      <c r="AH614"/>
      <c r="AI614"/>
      <c r="AJ614"/>
      <c r="AK614"/>
      <c r="AL614"/>
      <c r="AM614"/>
    </row>
    <row r="615" spans="1:39" ht="101.25" customHeight="1">
      <c r="A615" s="22" t="s">
        <v>2209</v>
      </c>
      <c r="B615" s="814" t="e">
        <f>'ADMININSTRACIÓN DIR - OBRA'!#REF!</f>
        <v>#REF!</v>
      </c>
      <c r="C615" s="16">
        <f>OBRA!K617</f>
        <v>2022</v>
      </c>
      <c r="D615" s="17" t="str">
        <f>OBRA!N617</f>
        <v>CUENTA CORRIENTE</v>
      </c>
      <c r="E615" s="479" t="s">
        <v>1427</v>
      </c>
      <c r="F615" s="1129"/>
      <c r="G615" s="220"/>
      <c r="H615" s="1129"/>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4511</v>
      </c>
      <c r="O615" s="505"/>
      <c r="P615" s="6">
        <f>OBRA!T617</f>
        <v>44662</v>
      </c>
      <c r="Q615" s="4">
        <f>OBRA!S617</f>
        <v>32886</v>
      </c>
      <c r="R615" s="79" t="s">
        <v>67</v>
      </c>
      <c r="S615" s="5" t="str">
        <f>OBRA!U617</f>
        <v>-</v>
      </c>
      <c r="T615" s="11" t="str">
        <f>OBRA!V617</f>
        <v>-</v>
      </c>
      <c r="U615" s="1381" t="s">
        <v>5623</v>
      </c>
      <c r="V615" s="378" t="s">
        <v>1427</v>
      </c>
      <c r="W615" s="509"/>
      <c r="X615" s="510"/>
      <c r="Y615" s="1005" t="s">
        <v>1176</v>
      </c>
      <c r="Z615" s="310"/>
      <c r="AA615" s="310"/>
      <c r="AB615" s="5"/>
      <c r="AC615" s="318">
        <f>OBRA!BX617</f>
        <v>0</v>
      </c>
      <c r="AD615" s="353"/>
      <c r="AF615"/>
      <c r="AG615"/>
      <c r="AH615"/>
      <c r="AI615"/>
      <c r="AJ615"/>
      <c r="AK615"/>
      <c r="AL615"/>
      <c r="AM615"/>
    </row>
    <row r="616" spans="1:39" ht="137.25" customHeight="1">
      <c r="A616" s="22" t="s">
        <v>2209</v>
      </c>
      <c r="B616" s="814" t="e">
        <f>'ADMININSTRACIÓN DIR - OBRA'!#REF!</f>
        <v>#REF!</v>
      </c>
      <c r="C616" s="16">
        <f>OBRA!K618</f>
        <v>2022</v>
      </c>
      <c r="D616" s="17" t="str">
        <f>OBRA!N618</f>
        <v>CUENTA CORRIENTE</v>
      </c>
      <c r="E616" s="479" t="s">
        <v>1427</v>
      </c>
      <c r="F616" s="1129"/>
      <c r="G616" s="220"/>
      <c r="H616" s="1129"/>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4511</v>
      </c>
      <c r="O616" s="505"/>
      <c r="P616" s="6">
        <f>OBRA!T618</f>
        <v>44690</v>
      </c>
      <c r="Q616" s="4">
        <f>OBRA!S618</f>
        <v>18270</v>
      </c>
      <c r="R616" s="79" t="s">
        <v>67</v>
      </c>
      <c r="S616" s="5" t="str">
        <f>OBRA!U618</f>
        <v>-</v>
      </c>
      <c r="T616" s="11" t="str">
        <f>OBRA!V618</f>
        <v>-</v>
      </c>
      <c r="U616" s="1381" t="s">
        <v>5623</v>
      </c>
      <c r="V616" s="378" t="s">
        <v>1427</v>
      </c>
      <c r="W616" s="509"/>
      <c r="X616" s="510"/>
      <c r="Y616" s="1005" t="s">
        <v>1176</v>
      </c>
      <c r="Z616" s="310"/>
      <c r="AA616" s="310"/>
      <c r="AB616" s="5"/>
      <c r="AC616" s="318">
        <f>OBRA!BX618</f>
        <v>0</v>
      </c>
      <c r="AD616" s="353"/>
      <c r="AF616"/>
      <c r="AG616"/>
      <c r="AH616"/>
      <c r="AI616"/>
      <c r="AJ616"/>
      <c r="AK616"/>
      <c r="AL616"/>
      <c r="AM616"/>
    </row>
    <row r="617" spans="1:39" ht="117" customHeight="1">
      <c r="A617" s="22" t="s">
        <v>2209</v>
      </c>
      <c r="B617" s="814" t="e">
        <f>'ADMININSTRACIÓN DIR - OBRA'!#REF!</f>
        <v>#REF!</v>
      </c>
      <c r="C617" s="16">
        <f>OBRA!K619</f>
        <v>2022</v>
      </c>
      <c r="D617" s="17" t="str">
        <f>OBRA!N619</f>
        <v>CUENTA CORRIENTE</v>
      </c>
      <c r="E617" s="479" t="s">
        <v>1427</v>
      </c>
      <c r="F617" s="1129"/>
      <c r="G617" s="220"/>
      <c r="H617" s="1129"/>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4511</v>
      </c>
      <c r="O617" s="505"/>
      <c r="P617" s="6">
        <f>OBRA!T619</f>
        <v>44714</v>
      </c>
      <c r="Q617" s="4">
        <f>OBRA!S619</f>
        <v>3500</v>
      </c>
      <c r="R617" s="79" t="s">
        <v>67</v>
      </c>
      <c r="S617" s="5">
        <f>OBRA!U619</f>
        <v>44716</v>
      </c>
      <c r="T617" s="11">
        <f>OBRA!V619</f>
        <v>44716</v>
      </c>
      <c r="U617" s="1381" t="s">
        <v>5623</v>
      </c>
      <c r="V617" s="378" t="s">
        <v>1427</v>
      </c>
      <c r="W617" s="509"/>
      <c r="X617" s="510"/>
      <c r="Y617" s="1005" t="s">
        <v>1176</v>
      </c>
      <c r="Z617" s="310"/>
      <c r="AA617" s="310"/>
      <c r="AB617" s="5"/>
      <c r="AC617" s="318">
        <f>OBRA!BX619</f>
        <v>0</v>
      </c>
      <c r="AD617" s="353"/>
      <c r="AF617"/>
      <c r="AG617"/>
      <c r="AH617"/>
      <c r="AI617"/>
      <c r="AJ617"/>
      <c r="AK617"/>
      <c r="AL617"/>
      <c r="AM617"/>
    </row>
    <row r="618" spans="1:39" ht="15" hidden="1" customHeight="1">
      <c r="A618" s="22" t="s">
        <v>2209</v>
      </c>
      <c r="B618" s="814">
        <f>'ADMININSTRACIÓN DIR - OBRA'!B914</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3818</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'ADMININSTRACIÓN DIR - OBRA'!B915</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3818</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'ADMININSTRACIÓN DIR - OBRA'!B916</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3818</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'ADMININSTRACIÓN DIR - OBRA'!B917</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3818</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'ADMININSTRACIÓN DIR - OBRA'!B918</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3818</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'ADMININSTRACIÓN DIR - OBRA'!B919</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3818</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2209</v>
      </c>
      <c r="B624" s="814">
        <f>'ADMININSTRACIÓN DIR - OBRA'!B920</f>
        <v>0</v>
      </c>
      <c r="C624" s="16">
        <f>OBRA!K626</f>
        <v>2022</v>
      </c>
      <c r="D624" s="17" t="str">
        <f>OBRA!N626</f>
        <v>CUENTA CORRIENTE</v>
      </c>
      <c r="E624" s="479" t="s">
        <v>1427</v>
      </c>
      <c r="F624" s="1129"/>
      <c r="G624" s="220"/>
      <c r="H624" s="1129"/>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4884</v>
      </c>
      <c r="O624" s="505"/>
      <c r="P624" s="6">
        <f>OBRA!T626</f>
        <v>44655</v>
      </c>
      <c r="Q624" s="4">
        <f>OBRA!S626</f>
        <v>1739.9999999999998</v>
      </c>
      <c r="R624" s="79" t="s">
        <v>5594</v>
      </c>
      <c r="S624" s="5">
        <f>OBRA!U626</f>
        <v>44658</v>
      </c>
      <c r="T624" s="11">
        <f>OBRA!V626</f>
        <v>44662</v>
      </c>
      <c r="U624" s="208" t="s">
        <v>5624</v>
      </c>
      <c r="V624" s="378" t="s">
        <v>1427</v>
      </c>
      <c r="W624" s="509"/>
      <c r="X624" s="510"/>
      <c r="Y624" s="1005" t="s">
        <v>1176</v>
      </c>
      <c r="Z624" s="310"/>
      <c r="AA624" s="310"/>
      <c r="AB624" s="5"/>
      <c r="AC624" s="318">
        <f>OBRA!BX626</f>
        <v>0</v>
      </c>
      <c r="AD624" s="353"/>
      <c r="AF624"/>
      <c r="AG624"/>
      <c r="AH624"/>
      <c r="AI624"/>
      <c r="AJ624"/>
      <c r="AK624"/>
      <c r="AL624"/>
      <c r="AM624"/>
    </row>
    <row r="625" spans="1:39" ht="96.75" customHeight="1">
      <c r="A625" s="22" t="s">
        <v>2209</v>
      </c>
      <c r="B625" s="814">
        <f>'ADMININSTRACIÓN DIR - OBRA'!B921</f>
        <v>0</v>
      </c>
      <c r="C625" s="16">
        <f>OBRA!K627</f>
        <v>2022</v>
      </c>
      <c r="D625" s="17" t="str">
        <f>OBRA!N627</f>
        <v>CUENTA CORRIENTE</v>
      </c>
      <c r="E625" s="479" t="s">
        <v>1427</v>
      </c>
      <c r="F625" s="1129"/>
      <c r="G625" s="220"/>
      <c r="H625" s="1129"/>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4884</v>
      </c>
      <c r="O625" s="505"/>
      <c r="P625" s="6">
        <f>OBRA!T627</f>
        <v>44594</v>
      </c>
      <c r="Q625" s="4">
        <f>OBRA!S627</f>
        <v>638</v>
      </c>
      <c r="R625" s="79" t="s">
        <v>2297</v>
      </c>
      <c r="S625" s="5" t="str">
        <f>OBRA!U627</f>
        <v>-</v>
      </c>
      <c r="T625" s="11" t="str">
        <f>OBRA!V627</f>
        <v>-</v>
      </c>
      <c r="U625" s="208" t="s">
        <v>5624</v>
      </c>
      <c r="V625" s="378" t="s">
        <v>1427</v>
      </c>
      <c r="W625" s="509"/>
      <c r="X625" s="510"/>
      <c r="Y625" s="1005" t="s">
        <v>1176</v>
      </c>
      <c r="Z625" s="310"/>
      <c r="AA625" s="310"/>
      <c r="AB625" s="5"/>
      <c r="AC625" s="318">
        <f>OBRA!BX627</f>
        <v>0</v>
      </c>
      <c r="AD625" s="353"/>
      <c r="AF625"/>
      <c r="AG625"/>
      <c r="AH625"/>
      <c r="AI625"/>
      <c r="AJ625"/>
      <c r="AK625"/>
      <c r="AL625"/>
      <c r="AM625"/>
    </row>
    <row r="626" spans="1:39" ht="100.5" customHeight="1">
      <c r="A626" s="22" t="s">
        <v>2209</v>
      </c>
      <c r="B626" s="814">
        <f>'ADMININSTRACIÓN DIR - OBRA'!B922</f>
        <v>0</v>
      </c>
      <c r="C626" s="16">
        <f>OBRA!K628</f>
        <v>2022</v>
      </c>
      <c r="D626" s="17" t="str">
        <f>OBRA!N628</f>
        <v>CUENTA CORRIENTE</v>
      </c>
      <c r="E626" s="479" t="s">
        <v>1427</v>
      </c>
      <c r="F626" s="1129"/>
      <c r="G626" s="220"/>
      <c r="H626" s="1129"/>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4884</v>
      </c>
      <c r="O626" s="505"/>
      <c r="P626" s="6">
        <f>OBRA!T628</f>
        <v>44673</v>
      </c>
      <c r="Q626" s="4">
        <f>OBRA!S628</f>
        <v>1739.9999999999998</v>
      </c>
      <c r="R626" s="79" t="s">
        <v>5594</v>
      </c>
      <c r="S626" s="5">
        <f>OBRA!U628</f>
        <v>44677</v>
      </c>
      <c r="T626" s="11">
        <f>OBRA!V628</f>
        <v>44707</v>
      </c>
      <c r="U626" s="208" t="s">
        <v>5624</v>
      </c>
      <c r="V626" s="378" t="s">
        <v>1427</v>
      </c>
      <c r="W626" s="509"/>
      <c r="X626" s="510"/>
      <c r="Y626" s="1005" t="s">
        <v>1176</v>
      </c>
      <c r="Z626" s="310"/>
      <c r="AA626" s="310"/>
      <c r="AB626" s="5"/>
      <c r="AC626" s="318">
        <f>OBRA!BX628</f>
        <v>0</v>
      </c>
      <c r="AD626" s="353"/>
      <c r="AF626"/>
      <c r="AG626"/>
      <c r="AH626"/>
      <c r="AI626"/>
      <c r="AJ626"/>
      <c r="AK626"/>
      <c r="AL626"/>
      <c r="AM626"/>
    </row>
    <row r="627" spans="1:39" ht="107.25" customHeight="1">
      <c r="A627" s="22" t="s">
        <v>2209</v>
      </c>
      <c r="B627" s="814">
        <f>'ADMININSTRACIÓN DIR - OBRA'!B923</f>
        <v>0</v>
      </c>
      <c r="C627" s="16">
        <f>OBRA!K629</f>
        <v>2022</v>
      </c>
      <c r="D627" s="17" t="str">
        <f>OBRA!N629</f>
        <v>CUENTA CORRIENTE</v>
      </c>
      <c r="E627" s="479" t="s">
        <v>1427</v>
      </c>
      <c r="F627" s="1129"/>
      <c r="G627" s="220"/>
      <c r="H627" s="1129"/>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4884</v>
      </c>
      <c r="O627" s="505"/>
      <c r="P627" s="6">
        <f>OBRA!T629</f>
        <v>44594</v>
      </c>
      <c r="Q627" s="4">
        <f>OBRA!S629</f>
        <v>1144.8851999999999</v>
      </c>
      <c r="R627" s="79" t="s">
        <v>2297</v>
      </c>
      <c r="S627" s="5" t="str">
        <f>OBRA!U629</f>
        <v>-</v>
      </c>
      <c r="T627" s="11" t="str">
        <f>OBRA!V629</f>
        <v>-</v>
      </c>
      <c r="U627" s="208" t="s">
        <v>5624</v>
      </c>
      <c r="V627" s="378" t="s">
        <v>1427</v>
      </c>
      <c r="W627" s="509"/>
      <c r="X627" s="510"/>
      <c r="Y627" s="1005" t="s">
        <v>1176</v>
      </c>
      <c r="Z627" s="310"/>
      <c r="AA627" s="310"/>
      <c r="AB627" s="5"/>
      <c r="AC627" s="318">
        <f>OBRA!BX629</f>
        <v>0</v>
      </c>
      <c r="AD627" s="353"/>
      <c r="AF627"/>
      <c r="AG627"/>
      <c r="AH627"/>
      <c r="AI627"/>
      <c r="AJ627"/>
      <c r="AK627"/>
      <c r="AL627"/>
      <c r="AM627"/>
    </row>
    <row r="628" spans="1:39" ht="106.5" customHeight="1">
      <c r="A628" s="22" t="s">
        <v>2209</v>
      </c>
      <c r="B628" s="814">
        <f>'ADMININSTRACIÓN DIR - OBRA'!B924</f>
        <v>0</v>
      </c>
      <c r="C628" s="16">
        <f>OBRA!K630</f>
        <v>2022</v>
      </c>
      <c r="D628" s="17" t="str">
        <f>OBRA!N630</f>
        <v>CUENTA CORRIENTE</v>
      </c>
      <c r="E628" s="479" t="s">
        <v>1427</v>
      </c>
      <c r="F628" s="1129"/>
      <c r="G628" s="220"/>
      <c r="H628" s="1129"/>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4884</v>
      </c>
      <c r="O628" s="505"/>
      <c r="P628" s="6">
        <f>OBRA!T630</f>
        <v>44641</v>
      </c>
      <c r="Q628" s="4">
        <f>OBRA!S630</f>
        <v>1850.8843999999997</v>
      </c>
      <c r="R628" s="79" t="s">
        <v>2297</v>
      </c>
      <c r="S628" s="5" t="str">
        <f>OBRA!U630</f>
        <v>-</v>
      </c>
      <c r="T628" s="11" t="str">
        <f>OBRA!V630</f>
        <v>-</v>
      </c>
      <c r="U628" s="208" t="s">
        <v>5624</v>
      </c>
      <c r="V628" s="378" t="s">
        <v>1427</v>
      </c>
      <c r="W628" s="509"/>
      <c r="X628" s="510"/>
      <c r="Y628" s="1005" t="s">
        <v>1176</v>
      </c>
      <c r="Z628" s="310"/>
      <c r="AA628" s="310"/>
      <c r="AB628" s="5"/>
      <c r="AC628" s="318">
        <f>OBRA!BX630</f>
        <v>0</v>
      </c>
      <c r="AD628" s="353"/>
      <c r="AF628"/>
      <c r="AG628"/>
      <c r="AH628"/>
      <c r="AI628"/>
      <c r="AJ628"/>
      <c r="AK628"/>
      <c r="AL628"/>
      <c r="AM628"/>
    </row>
    <row r="629" spans="1:39" ht="102" customHeight="1">
      <c r="A629" s="22" t="s">
        <v>2209</v>
      </c>
      <c r="B629" s="814">
        <f>'ADMININSTRACIÓN DIR - OBRA'!B925</f>
        <v>0</v>
      </c>
      <c r="C629" s="16">
        <f>OBRA!K631</f>
        <v>2022</v>
      </c>
      <c r="D629" s="17" t="str">
        <f>OBRA!N631</f>
        <v>CUENTA CORRIENTE</v>
      </c>
      <c r="E629" s="479" t="s">
        <v>1427</v>
      </c>
      <c r="F629" s="1129"/>
      <c r="G629" s="220"/>
      <c r="H629" s="1129"/>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4884</v>
      </c>
      <c r="O629" s="505"/>
      <c r="P629" s="6">
        <f>OBRA!T631</f>
        <v>44642</v>
      </c>
      <c r="Q629" s="4">
        <f>OBRA!S631</f>
        <v>854.74599999999998</v>
      </c>
      <c r="R629" s="79" t="s">
        <v>2297</v>
      </c>
      <c r="S629" s="5">
        <f>OBRA!U631</f>
        <v>44642</v>
      </c>
      <c r="T629" s="11">
        <f>OBRA!V631</f>
        <v>44926</v>
      </c>
      <c r="U629" s="208" t="s">
        <v>5624</v>
      </c>
      <c r="V629" s="378" t="s">
        <v>1427</v>
      </c>
      <c r="W629" s="509"/>
      <c r="X629" s="510"/>
      <c r="Y629" s="1005" t="s">
        <v>1176</v>
      </c>
      <c r="Z629" s="310"/>
      <c r="AA629" s="310"/>
      <c r="AB629" s="5"/>
      <c r="AC629" s="318">
        <f>OBRA!BX631</f>
        <v>0</v>
      </c>
      <c r="AD629" s="353"/>
      <c r="AF629"/>
      <c r="AG629"/>
      <c r="AH629"/>
      <c r="AI629"/>
      <c r="AJ629"/>
      <c r="AK629"/>
      <c r="AL629"/>
      <c r="AM629"/>
    </row>
    <row r="630" spans="1:39" ht="111" customHeight="1">
      <c r="A630" s="22" t="s">
        <v>2209</v>
      </c>
      <c r="B630" s="814">
        <f>'ADMININSTRACIÓN DIR - OBRA'!B926</f>
        <v>0</v>
      </c>
      <c r="C630" s="16">
        <f>OBRA!K632</f>
        <v>2022</v>
      </c>
      <c r="D630" s="17" t="str">
        <f>OBRA!N632</f>
        <v>CUENTA CORRIENTE</v>
      </c>
      <c r="E630" s="479" t="s">
        <v>1427</v>
      </c>
      <c r="F630" s="1129"/>
      <c r="G630" s="220"/>
      <c r="H630" s="1129"/>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4884</v>
      </c>
      <c r="O630" s="505"/>
      <c r="P630" s="6">
        <f>OBRA!T632</f>
        <v>44648</v>
      </c>
      <c r="Q630" s="4">
        <f>OBRA!S632</f>
        <v>818.2639999999999</v>
      </c>
      <c r="R630" s="79" t="s">
        <v>2297</v>
      </c>
      <c r="S630" s="5">
        <f>OBRA!U632</f>
        <v>44648</v>
      </c>
      <c r="T630" s="11">
        <f>OBRA!V632</f>
        <v>44926</v>
      </c>
      <c r="U630" s="208" t="s">
        <v>5624</v>
      </c>
      <c r="V630" s="378" t="s">
        <v>1427</v>
      </c>
      <c r="W630" s="509"/>
      <c r="X630" s="510"/>
      <c r="Y630" s="1005" t="s">
        <v>1176</v>
      </c>
      <c r="Z630" s="310"/>
      <c r="AA630" s="310"/>
      <c r="AB630" s="5"/>
      <c r="AC630" s="318">
        <f>OBRA!BX632</f>
        <v>0</v>
      </c>
      <c r="AD630" s="353"/>
      <c r="AF630"/>
      <c r="AG630"/>
      <c r="AH630"/>
      <c r="AI630"/>
      <c r="AJ630"/>
      <c r="AK630"/>
      <c r="AL630"/>
      <c r="AM630"/>
    </row>
    <row r="631" spans="1:39" ht="108.75" customHeight="1">
      <c r="A631" s="22" t="s">
        <v>2209</v>
      </c>
      <c r="B631" s="814">
        <f>'ADMININSTRACIÓN DIR - OBRA'!B927</f>
        <v>0</v>
      </c>
      <c r="C631" s="16">
        <f>OBRA!K633</f>
        <v>2022</v>
      </c>
      <c r="D631" s="17" t="str">
        <f>OBRA!N633</f>
        <v>CUENTA CORRIENTE</v>
      </c>
      <c r="E631" s="479" t="s">
        <v>1427</v>
      </c>
      <c r="F631" s="1129"/>
      <c r="G631" s="220"/>
      <c r="H631" s="1129"/>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4884</v>
      </c>
      <c r="O631" s="505"/>
      <c r="P631" s="6">
        <f>OBRA!T633</f>
        <v>44642</v>
      </c>
      <c r="Q631" s="4">
        <f>OBRA!S633</f>
        <v>376.51279999999997</v>
      </c>
      <c r="R631" s="79" t="s">
        <v>2297</v>
      </c>
      <c r="S631" s="5">
        <f>OBRA!U633</f>
        <v>44642</v>
      </c>
      <c r="T631" s="11">
        <f>OBRA!V633</f>
        <v>44926</v>
      </c>
      <c r="U631" s="208" t="s">
        <v>5624</v>
      </c>
      <c r="V631" s="378" t="s">
        <v>1427</v>
      </c>
      <c r="W631" s="509"/>
      <c r="X631" s="510"/>
      <c r="Y631" s="1005" t="s">
        <v>1176</v>
      </c>
      <c r="Z631" s="310"/>
      <c r="AA631" s="310"/>
      <c r="AB631" s="5"/>
      <c r="AC631" s="318">
        <f>OBRA!BX633</f>
        <v>0</v>
      </c>
      <c r="AD631" s="353"/>
      <c r="AF631"/>
      <c r="AG631"/>
      <c r="AH631"/>
      <c r="AI631"/>
      <c r="AJ631"/>
      <c r="AK631"/>
      <c r="AL631"/>
      <c r="AM631"/>
    </row>
    <row r="632" spans="1:39" ht="15" hidden="1" customHeight="1">
      <c r="A632" s="22" t="s">
        <v>2209</v>
      </c>
      <c r="B632" s="814">
        <f>'ADMININSTRACIÓN DIR - OBRA'!B928</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3818</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'ADMININSTRACIÓN DIR - OBRA'!B929</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3818</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'ADMININSTRACIÓN DIR - OBRA'!B930</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'ADMININSTRACIÓN DIR - OBRA'!B931</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'ADMININSTRACIÓN DIR - OBRA'!B932</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'ADMININSTRACIÓN DIR - OBRA'!B933</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'ADMININSTRACIÓN DIR - OBRA'!B934</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'ADMININSTRACIÓN DIR - OBRA'!B935</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'ADMININSTRACIÓN DIR - OBRA'!B936</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'ADMININSTRACIÓN DIR - OBRA'!B937</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'ADMININSTRACIÓN DIR - OBRA'!B938</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'ADMININSTRACIÓN DIR - OBRA'!B939</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'ADMININSTRACIÓN DIR - OBRA'!B940</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'ADMININSTRACIÓN DIR - OBRA'!B941</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'ADMININSTRACIÓN DIR - OBRA'!B942</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'ADMININSTRACIÓN DIR - OBRA'!B943</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'ADMININSTRACIÓN DIR - OBRA'!B944</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'ADMININSTRACIÓN DIR - OBRA'!B945</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'ADMININSTRACIÓN DIR - OBRA'!B946</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'ADMININSTRACIÓN DIR - OBRA'!B947</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'ADMININSTRACIÓN DIR - OBRA'!B948</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'ADMININSTRACIÓN DIR - OBRA'!B949</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'ADMININSTRACIÓN DIR - OBRA'!B950</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'ADMININSTRACIÓN DIR - OBRA'!B951</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'ADMININSTRACIÓN DIR - OBRA'!B952</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'ADMININSTRACIÓN DIR - OBRA'!B953</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'ADMININSTRACIÓN DIR - OBRA'!B954</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2209</v>
      </c>
      <c r="B659" s="814">
        <f>'ADMININSTRACIÓN DIR - OBRA'!B955</f>
        <v>0</v>
      </c>
      <c r="C659" s="16">
        <f>OBRA!K661</f>
        <v>2023</v>
      </c>
      <c r="D659" s="17" t="str">
        <f>OBRA!N661</f>
        <v>CUENTA CORRIENTE</v>
      </c>
      <c r="E659" s="479" t="s">
        <v>1427</v>
      </c>
      <c r="F659" s="497" t="s">
        <v>6052</v>
      </c>
      <c r="G659" s="496" t="s">
        <v>6052</v>
      </c>
      <c r="H659" s="163"/>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4885</v>
      </c>
      <c r="O659" s="2003" t="s">
        <v>6846</v>
      </c>
      <c r="P659" s="6">
        <f>OBRA!T661</f>
        <v>44928</v>
      </c>
      <c r="Q659" s="4">
        <f>OBRA!S661</f>
        <v>17400</v>
      </c>
      <c r="R659" s="79" t="s">
        <v>67</v>
      </c>
      <c r="S659" s="5">
        <f>OBRA!U661</f>
        <v>44929</v>
      </c>
      <c r="T659" s="11">
        <f>OBRA!V661</f>
        <v>44931</v>
      </c>
      <c r="U659" s="1381" t="s">
        <v>5623</v>
      </c>
      <c r="V659" s="378" t="s">
        <v>1427</v>
      </c>
      <c r="W659" s="500" t="s">
        <v>6052</v>
      </c>
      <c r="X659" s="589" t="s">
        <v>6052</v>
      </c>
      <c r="Y659" s="1005" t="s">
        <v>1176</v>
      </c>
      <c r="Z659" s="310"/>
      <c r="AA659" s="310"/>
      <c r="AB659" s="5"/>
      <c r="AC659" s="318">
        <f>OBRA!BX661</f>
        <v>0</v>
      </c>
      <c r="AD659" s="353"/>
      <c r="AF659"/>
      <c r="AG659"/>
      <c r="AH659"/>
      <c r="AI659"/>
      <c r="AJ659"/>
      <c r="AK659"/>
      <c r="AL659"/>
      <c r="AM659"/>
    </row>
    <row r="660" spans="1:39" ht="98.25" customHeight="1">
      <c r="A660" s="22" t="s">
        <v>2209</v>
      </c>
      <c r="B660" s="814">
        <f>'ADMININSTRACIÓN DIR - OBRA'!B956</f>
        <v>0</v>
      </c>
      <c r="C660" s="16">
        <f>OBRA!K662</f>
        <v>2023</v>
      </c>
      <c r="D660" s="17" t="str">
        <f>OBRA!N662</f>
        <v>CUENTA CORRIENTE</v>
      </c>
      <c r="E660" s="479" t="s">
        <v>1427</v>
      </c>
      <c r="F660" s="163"/>
      <c r="G660" s="511"/>
      <c r="H660" s="163"/>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4885</v>
      </c>
      <c r="O660" s="2003"/>
      <c r="P660" s="6">
        <f>OBRA!T662</f>
        <v>44928</v>
      </c>
      <c r="Q660" s="4">
        <f>OBRA!S662</f>
        <v>17400</v>
      </c>
      <c r="R660" s="79" t="s">
        <v>67</v>
      </c>
      <c r="S660" s="5">
        <f>OBRA!U662</f>
        <v>44931</v>
      </c>
      <c r="T660" s="11">
        <f>OBRA!V662</f>
        <v>44932</v>
      </c>
      <c r="U660" s="1381" t="s">
        <v>5623</v>
      </c>
      <c r="V660" s="378" t="s">
        <v>1427</v>
      </c>
      <c r="W660" s="538"/>
      <c r="X660" s="438"/>
      <c r="Y660" s="1005" t="s">
        <v>1176</v>
      </c>
      <c r="Z660" s="310"/>
      <c r="AA660" s="310"/>
      <c r="AB660" s="5"/>
      <c r="AC660" s="318">
        <f>OBRA!BX662</f>
        <v>0</v>
      </c>
      <c r="AD660" s="353"/>
      <c r="AF660"/>
      <c r="AG660"/>
      <c r="AH660"/>
      <c r="AI660"/>
      <c r="AJ660"/>
      <c r="AK660"/>
      <c r="AL660"/>
      <c r="AM660"/>
    </row>
    <row r="661" spans="1:39" ht="101.25" customHeight="1">
      <c r="A661" s="22" t="s">
        <v>2209</v>
      </c>
      <c r="B661" s="814">
        <f>'ADMININSTRACIÓN DIR - OBRA'!B957</f>
        <v>0</v>
      </c>
      <c r="C661" s="16">
        <f>OBRA!K663</f>
        <v>2023</v>
      </c>
      <c r="D661" s="17" t="str">
        <f>OBRA!N663</f>
        <v>CUENTA CORRIENTE</v>
      </c>
      <c r="E661" s="479" t="s">
        <v>1427</v>
      </c>
      <c r="F661" s="163"/>
      <c r="G661" s="511"/>
      <c r="H661" s="163"/>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4885</v>
      </c>
      <c r="O661" s="2003"/>
      <c r="P661" s="6">
        <f>OBRA!T663</f>
        <v>44928</v>
      </c>
      <c r="Q661" s="4">
        <f>OBRA!S663</f>
        <v>17400</v>
      </c>
      <c r="R661" s="79" t="s">
        <v>67</v>
      </c>
      <c r="S661" s="5">
        <f>OBRA!U663</f>
        <v>44928</v>
      </c>
      <c r="T661" s="11">
        <f>OBRA!V663</f>
        <v>44957</v>
      </c>
      <c r="U661" s="1381" t="s">
        <v>5623</v>
      </c>
      <c r="V661" s="378" t="s">
        <v>1427</v>
      </c>
      <c r="W661" s="538"/>
      <c r="X661" s="438"/>
      <c r="Y661" s="1005" t="s">
        <v>1176</v>
      </c>
      <c r="Z661" s="310"/>
      <c r="AA661" s="310"/>
      <c r="AB661" s="5"/>
      <c r="AC661" s="318">
        <f>OBRA!BX663</f>
        <v>0</v>
      </c>
      <c r="AD661" s="353"/>
      <c r="AF661"/>
      <c r="AG661"/>
      <c r="AH661"/>
      <c r="AI661"/>
      <c r="AJ661"/>
      <c r="AK661"/>
      <c r="AL661"/>
      <c r="AM661"/>
    </row>
    <row r="662" spans="1:39" ht="87" customHeight="1">
      <c r="A662" s="22" t="s">
        <v>2209</v>
      </c>
      <c r="B662" s="814">
        <f>'ADMININSTRACIÓN DIR - OBRA'!B958</f>
        <v>0</v>
      </c>
      <c r="C662" s="16">
        <f>OBRA!K664</f>
        <v>2023</v>
      </c>
      <c r="D662" s="17" t="str">
        <f>OBRA!N664</f>
        <v>CUENTA CORRIENTE</v>
      </c>
      <c r="E662" s="479" t="s">
        <v>1427</v>
      </c>
      <c r="F662" s="497" t="s">
        <v>6142</v>
      </c>
      <c r="G662" s="496" t="s">
        <v>6142</v>
      </c>
      <c r="H662" s="1251"/>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4885</v>
      </c>
      <c r="O662" s="2003" t="s">
        <v>6847</v>
      </c>
      <c r="P662" s="6">
        <f>OBRA!T664</f>
        <v>44953</v>
      </c>
      <c r="Q662" s="4">
        <f>OBRA!S664</f>
        <v>25520</v>
      </c>
      <c r="R662" s="79" t="s">
        <v>67</v>
      </c>
      <c r="S662" s="5">
        <f>OBRA!U664</f>
        <v>44958</v>
      </c>
      <c r="T662" s="11">
        <f>OBRA!V664</f>
        <v>44960</v>
      </c>
      <c r="U662" s="1381" t="s">
        <v>5623</v>
      </c>
      <c r="V662" s="378" t="s">
        <v>1427</v>
      </c>
      <c r="W662" s="500" t="s">
        <v>6142</v>
      </c>
      <c r="X662" s="589" t="s">
        <v>6142</v>
      </c>
      <c r="Y662" s="1005" t="s">
        <v>1176</v>
      </c>
      <c r="Z662" s="310"/>
      <c r="AA662" s="310"/>
      <c r="AB662" s="5"/>
      <c r="AC662" s="318">
        <f>OBRA!BX664</f>
        <v>0</v>
      </c>
      <c r="AD662" s="353"/>
      <c r="AF662"/>
      <c r="AG662"/>
      <c r="AH662"/>
      <c r="AI662"/>
      <c r="AJ662"/>
      <c r="AK662"/>
      <c r="AL662"/>
      <c r="AM662"/>
    </row>
    <row r="663" spans="1:39" ht="93" customHeight="1">
      <c r="A663" s="22" t="s">
        <v>2209</v>
      </c>
      <c r="B663" s="814">
        <f>'ADMININSTRACIÓN DIR - OBRA'!B959</f>
        <v>0</v>
      </c>
      <c r="C663" s="16">
        <f>OBRA!K665</f>
        <v>2023</v>
      </c>
      <c r="D663" s="17" t="str">
        <f>OBRA!N665</f>
        <v>CUENTA CORRIENTE</v>
      </c>
      <c r="E663" s="479" t="s">
        <v>1427</v>
      </c>
      <c r="F663" s="163"/>
      <c r="G663" s="511"/>
      <c r="H663" s="163"/>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4885</v>
      </c>
      <c r="O663" s="2003"/>
      <c r="P663" s="6">
        <f>OBRA!T665</f>
        <v>44953</v>
      </c>
      <c r="Q663" s="4">
        <f>OBRA!S665</f>
        <v>17400</v>
      </c>
      <c r="R663" s="79" t="s">
        <v>67</v>
      </c>
      <c r="S663" s="5">
        <f>OBRA!U665</f>
        <v>44960</v>
      </c>
      <c r="T663" s="11">
        <f>OBRA!V665</f>
        <v>44962</v>
      </c>
      <c r="U663" s="1381" t="s">
        <v>5623</v>
      </c>
      <c r="V663" s="378" t="s">
        <v>1427</v>
      </c>
      <c r="W663" s="538"/>
      <c r="X663" s="438"/>
      <c r="Y663" s="1005" t="s">
        <v>1176</v>
      </c>
      <c r="Z663" s="310"/>
      <c r="AA663" s="310"/>
      <c r="AB663" s="5"/>
      <c r="AC663" s="318">
        <f>OBRA!BX665</f>
        <v>0</v>
      </c>
      <c r="AD663" s="353"/>
      <c r="AF663"/>
      <c r="AG663"/>
      <c r="AH663"/>
      <c r="AI663"/>
      <c r="AJ663"/>
      <c r="AK663"/>
      <c r="AL663"/>
      <c r="AM663"/>
    </row>
    <row r="664" spans="1:39" ht="93.75" customHeight="1">
      <c r="A664" s="22" t="s">
        <v>2209</v>
      </c>
      <c r="B664" s="814">
        <f>'ADMININSTRACIÓN DIR - OBRA'!B960</f>
        <v>0</v>
      </c>
      <c r="C664" s="16">
        <f>OBRA!K666</f>
        <v>2023</v>
      </c>
      <c r="D664" s="17" t="str">
        <f>OBRA!N666</f>
        <v>CUENTA CORRIENTE</v>
      </c>
      <c r="E664" s="479" t="s">
        <v>1427</v>
      </c>
      <c r="F664" s="163"/>
      <c r="G664" s="511"/>
      <c r="H664" s="163"/>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4885</v>
      </c>
      <c r="O664" s="2003"/>
      <c r="P664" s="6">
        <f>OBRA!T666</f>
        <v>44929</v>
      </c>
      <c r="Q664" s="4">
        <f>OBRA!S666</f>
        <v>3500</v>
      </c>
      <c r="R664" s="79" t="s">
        <v>67</v>
      </c>
      <c r="S664" s="5">
        <f>OBRA!U666</f>
        <v>44931</v>
      </c>
      <c r="T664" s="11">
        <f>OBRA!V666</f>
        <v>44931</v>
      </c>
      <c r="U664" s="1381" t="s">
        <v>5623</v>
      </c>
      <c r="V664" s="378" t="s">
        <v>1427</v>
      </c>
      <c r="W664" s="538"/>
      <c r="X664" s="438"/>
      <c r="Y664" s="1005" t="s">
        <v>1176</v>
      </c>
      <c r="Z664" s="310"/>
      <c r="AA664" s="310"/>
      <c r="AB664" s="5"/>
      <c r="AC664" s="318">
        <f>OBRA!BX666</f>
        <v>0</v>
      </c>
      <c r="AD664" s="353"/>
      <c r="AF664"/>
      <c r="AG664"/>
      <c r="AH664"/>
      <c r="AI664"/>
      <c r="AJ664"/>
      <c r="AK664"/>
      <c r="AL664"/>
      <c r="AM664"/>
    </row>
    <row r="665" spans="1:39" ht="108" customHeight="1">
      <c r="A665" s="22" t="s">
        <v>2209</v>
      </c>
      <c r="B665" s="814">
        <f>'ADMININSTRACIÓN DIR - OBRA'!B961</f>
        <v>0</v>
      </c>
      <c r="C665" s="16">
        <f>OBRA!K667</f>
        <v>2023</v>
      </c>
      <c r="D665" s="17" t="str">
        <f>OBRA!N667</f>
        <v>CUENTA CORRIENTE</v>
      </c>
      <c r="E665" s="479" t="s">
        <v>1427</v>
      </c>
      <c r="F665" s="163"/>
      <c r="G665" s="511"/>
      <c r="H665" s="163"/>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4885</v>
      </c>
      <c r="O665" s="2003"/>
      <c r="P665" s="6">
        <f>OBRA!T667</f>
        <v>44970</v>
      </c>
      <c r="Q665" s="4">
        <f>OBRA!S667</f>
        <v>3500</v>
      </c>
      <c r="R665" s="79" t="s">
        <v>67</v>
      </c>
      <c r="S665" s="5">
        <f>OBRA!U667</f>
        <v>44972</v>
      </c>
      <c r="T665" s="11">
        <f>OBRA!V667</f>
        <v>44972</v>
      </c>
      <c r="U665" s="1381" t="s">
        <v>5623</v>
      </c>
      <c r="V665" s="378" t="s">
        <v>1427</v>
      </c>
      <c r="W665" s="538"/>
      <c r="X665" s="438"/>
      <c r="Y665" s="1005" t="s">
        <v>1176</v>
      </c>
      <c r="Z665" s="310"/>
      <c r="AA665" s="310"/>
      <c r="AB665" s="5"/>
      <c r="AC665" s="318">
        <f>OBRA!BX667</f>
        <v>0</v>
      </c>
      <c r="AD665" s="353"/>
      <c r="AF665"/>
      <c r="AG665"/>
      <c r="AH665"/>
      <c r="AI665"/>
      <c r="AJ665"/>
      <c r="AK665"/>
      <c r="AL665"/>
      <c r="AM665"/>
    </row>
    <row r="666" spans="1:39" ht="141.75" customHeight="1">
      <c r="A666" s="22" t="s">
        <v>2209</v>
      </c>
      <c r="B666" s="814">
        <f>'ADMININSTRACIÓN DIR - OBRA'!B962</f>
        <v>0</v>
      </c>
      <c r="C666" s="16">
        <f>OBRA!K668</f>
        <v>2023</v>
      </c>
      <c r="D666" s="17" t="str">
        <f>OBRA!N668</f>
        <v>CUENTA CORRIENTE</v>
      </c>
      <c r="E666" s="479" t="s">
        <v>1427</v>
      </c>
      <c r="F666" s="163"/>
      <c r="G666" s="511"/>
      <c r="H666" s="163"/>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4885</v>
      </c>
      <c r="O666" s="2003"/>
      <c r="P666" s="6">
        <f>OBRA!T668</f>
        <v>44978</v>
      </c>
      <c r="Q666" s="4">
        <f>OBRA!S668</f>
        <v>22272</v>
      </c>
      <c r="R666" s="79" t="s">
        <v>67</v>
      </c>
      <c r="S666" s="5">
        <f>OBRA!U668</f>
        <v>44979</v>
      </c>
      <c r="T666" s="11">
        <f>OBRA!V668</f>
        <v>44979</v>
      </c>
      <c r="U666" s="1381" t="s">
        <v>5623</v>
      </c>
      <c r="V666" s="378" t="s">
        <v>1427</v>
      </c>
      <c r="W666" s="538"/>
      <c r="X666" s="438"/>
      <c r="Y666" s="1005" t="s">
        <v>1176</v>
      </c>
      <c r="Z666" s="310"/>
      <c r="AA666" s="310"/>
      <c r="AB666" s="5"/>
      <c r="AC666" s="318">
        <f>OBRA!BX668</f>
        <v>0</v>
      </c>
      <c r="AD666" s="353"/>
      <c r="AF666"/>
      <c r="AG666"/>
      <c r="AH666"/>
      <c r="AI666"/>
      <c r="AJ666"/>
      <c r="AK666"/>
      <c r="AL666"/>
      <c r="AM666"/>
    </row>
    <row r="667" spans="1:39" ht="172.5" customHeight="1">
      <c r="A667" s="22" t="s">
        <v>2209</v>
      </c>
      <c r="B667" s="814">
        <f>'ADMININSTRACIÓN DIR - OBRA'!B963</f>
        <v>0</v>
      </c>
      <c r="C667" s="16">
        <f>OBRA!K669</f>
        <v>2023</v>
      </c>
      <c r="D667" s="17" t="str">
        <f>OBRA!N669</f>
        <v>CUENTA CORRIENTE</v>
      </c>
      <c r="E667" s="479" t="s">
        <v>1427</v>
      </c>
      <c r="F667" s="163"/>
      <c r="G667" s="511"/>
      <c r="H667" s="163"/>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4885</v>
      </c>
      <c r="O667" s="2003"/>
      <c r="P667" s="6">
        <f>OBRA!T669</f>
        <v>45007</v>
      </c>
      <c r="Q667" s="4">
        <f>OBRA!S669</f>
        <v>20880</v>
      </c>
      <c r="R667" s="79" t="s">
        <v>67</v>
      </c>
      <c r="S667" s="5">
        <f>OBRA!U669</f>
        <v>45009</v>
      </c>
      <c r="T667" s="11">
        <f>OBRA!V669</f>
        <v>45016</v>
      </c>
      <c r="U667" s="1381" t="s">
        <v>5623</v>
      </c>
      <c r="V667" s="378" t="s">
        <v>1427</v>
      </c>
      <c r="W667" s="538"/>
      <c r="X667" s="438"/>
      <c r="Y667" s="1005" t="s">
        <v>1176</v>
      </c>
      <c r="Z667" s="310"/>
      <c r="AA667" s="310"/>
      <c r="AB667" s="5"/>
      <c r="AC667" s="318">
        <f>OBRA!BX669</f>
        <v>0</v>
      </c>
      <c r="AD667" s="353"/>
      <c r="AF667"/>
      <c r="AG667"/>
      <c r="AH667"/>
      <c r="AI667"/>
      <c r="AJ667"/>
      <c r="AK667"/>
      <c r="AL667"/>
      <c r="AM667"/>
    </row>
    <row r="668" spans="1:39" ht="136.5" customHeight="1">
      <c r="A668" s="22" t="s">
        <v>2209</v>
      </c>
      <c r="B668" s="814">
        <f>'ADMININSTRACIÓN DIR - OBRA'!B964</f>
        <v>0</v>
      </c>
      <c r="C668" s="16">
        <f>OBRA!K670</f>
        <v>2023</v>
      </c>
      <c r="D668" s="17" t="str">
        <f>OBRA!N670</f>
        <v>CUENTA CORRIENTE</v>
      </c>
      <c r="E668" s="479" t="s">
        <v>1427</v>
      </c>
      <c r="F668" s="163"/>
      <c r="G668" s="511"/>
      <c r="H668" s="163"/>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4885</v>
      </c>
      <c r="O668" s="2003"/>
      <c r="P668" s="6">
        <f>OBRA!T670</f>
        <v>45009</v>
      </c>
      <c r="Q668" s="4">
        <f>OBRA!S670</f>
        <v>27839.999999999996</v>
      </c>
      <c r="R668" s="79" t="s">
        <v>67</v>
      </c>
      <c r="S668" s="5">
        <f>OBRA!U670</f>
        <v>45013</v>
      </c>
      <c r="T668" s="11">
        <f>OBRA!V670</f>
        <v>45016</v>
      </c>
      <c r="U668" s="1381" t="s">
        <v>5623</v>
      </c>
      <c r="V668" s="378" t="s">
        <v>1427</v>
      </c>
      <c r="W668" s="538"/>
      <c r="X668" s="438"/>
      <c r="Y668" s="1005" t="s">
        <v>1176</v>
      </c>
      <c r="Z668" s="310"/>
      <c r="AA668" s="310"/>
      <c r="AB668" s="5"/>
      <c r="AC668" s="318">
        <f>OBRA!BX670</f>
        <v>0</v>
      </c>
      <c r="AD668" s="353"/>
      <c r="AF668"/>
      <c r="AG668"/>
      <c r="AH668"/>
      <c r="AI668"/>
      <c r="AJ668"/>
      <c r="AK668"/>
      <c r="AL668"/>
      <c r="AM668"/>
    </row>
    <row r="669" spans="1:39" ht="91.5" customHeight="1">
      <c r="A669" s="22" t="s">
        <v>2209</v>
      </c>
      <c r="B669" s="814">
        <f>'ADMININSTRACIÓN DIR - OBRA'!B965</f>
        <v>0</v>
      </c>
      <c r="C669" s="16">
        <f>OBRA!K671</f>
        <v>2023</v>
      </c>
      <c r="D669" s="17" t="str">
        <f>OBRA!N671</f>
        <v>CUENTA CORRIENTE</v>
      </c>
      <c r="E669" s="479" t="s">
        <v>1427</v>
      </c>
      <c r="F669" s="163"/>
      <c r="G669" s="511"/>
      <c r="H669" s="163"/>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6554</v>
      </c>
      <c r="O669" s="2003"/>
      <c r="P669" s="6">
        <f>OBRA!T671</f>
        <v>44988</v>
      </c>
      <c r="Q669" s="4">
        <f>OBRA!S671</f>
        <v>18560</v>
      </c>
      <c r="R669" s="79" t="s">
        <v>67</v>
      </c>
      <c r="S669" s="5">
        <f>OBRA!U671</f>
        <v>44991</v>
      </c>
      <c r="T669" s="11">
        <f>OBRA!V671</f>
        <v>44995</v>
      </c>
      <c r="U669" s="1381" t="s">
        <v>5623</v>
      </c>
      <c r="V669" s="378" t="s">
        <v>1427</v>
      </c>
      <c r="W669" s="538"/>
      <c r="X669" s="438"/>
      <c r="Y669" s="1005" t="s">
        <v>1176</v>
      </c>
      <c r="Z669" s="310"/>
      <c r="AA669" s="310"/>
      <c r="AB669" s="5"/>
      <c r="AC669" s="318">
        <f>OBRA!BX671</f>
        <v>0</v>
      </c>
      <c r="AD669" s="353"/>
      <c r="AF669"/>
      <c r="AG669"/>
      <c r="AH669"/>
      <c r="AI669"/>
      <c r="AJ669"/>
      <c r="AK669"/>
      <c r="AL669"/>
      <c r="AM669"/>
    </row>
    <row r="670" spans="1:39" ht="93.75" customHeight="1">
      <c r="A670" s="22" t="s">
        <v>2209</v>
      </c>
      <c r="B670" s="814">
        <f>'ADMININSTRACIÓN DIR - OBRA'!B966</f>
        <v>0</v>
      </c>
      <c r="C670" s="16">
        <f>OBRA!K672</f>
        <v>2023</v>
      </c>
      <c r="D670" s="17" t="str">
        <f>OBRA!N672</f>
        <v>CUENTA CORRIENTE</v>
      </c>
      <c r="E670" s="479" t="s">
        <v>1427</v>
      </c>
      <c r="F670" s="163"/>
      <c r="G670" s="511"/>
      <c r="H670" s="163"/>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6554</v>
      </c>
      <c r="O670" s="2003"/>
      <c r="P670" s="6">
        <f>OBRA!T672</f>
        <v>44995</v>
      </c>
      <c r="Q670" s="4">
        <f>OBRA!S672</f>
        <v>18560</v>
      </c>
      <c r="R670" s="79" t="s">
        <v>67</v>
      </c>
      <c r="S670" s="5">
        <f>OBRA!U672</f>
        <v>44998</v>
      </c>
      <c r="T670" s="11">
        <f>OBRA!V672</f>
        <v>45002</v>
      </c>
      <c r="U670" s="1381" t="s">
        <v>5623</v>
      </c>
      <c r="V670" s="378" t="s">
        <v>1427</v>
      </c>
      <c r="W670" s="538"/>
      <c r="X670" s="438"/>
      <c r="Y670" s="1005" t="s">
        <v>1176</v>
      </c>
      <c r="Z670" s="310"/>
      <c r="AA670" s="310"/>
      <c r="AB670" s="5"/>
      <c r="AC670" s="318">
        <f>OBRA!BX672</f>
        <v>0</v>
      </c>
      <c r="AD670" s="353"/>
      <c r="AF670"/>
      <c r="AG670"/>
      <c r="AH670"/>
      <c r="AI670"/>
      <c r="AJ670"/>
      <c r="AK670"/>
      <c r="AL670"/>
      <c r="AM670"/>
    </row>
    <row r="671" spans="1:39" ht="78" customHeight="1">
      <c r="A671" s="22" t="s">
        <v>2209</v>
      </c>
      <c r="B671" s="814">
        <f>'ADMININSTRACIÓN DIR - OBRA'!B967</f>
        <v>0</v>
      </c>
      <c r="C671" s="16">
        <f>OBRA!K673</f>
        <v>2023</v>
      </c>
      <c r="D671" s="17" t="str">
        <f>OBRA!N673</f>
        <v>CUENTA CORRIENTE</v>
      </c>
      <c r="E671" s="479" t="s">
        <v>1427</v>
      </c>
      <c r="F671" s="497" t="s">
        <v>6168</v>
      </c>
      <c r="G671" s="496" t="s">
        <v>6168</v>
      </c>
      <c r="H671" s="163"/>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6554</v>
      </c>
      <c r="O671" s="2003" t="s">
        <v>6848</v>
      </c>
      <c r="P671" s="6">
        <f>OBRA!T673</f>
        <v>45002</v>
      </c>
      <c r="Q671" s="4">
        <f>OBRA!S673</f>
        <v>18560</v>
      </c>
      <c r="R671" s="79" t="s">
        <v>67</v>
      </c>
      <c r="S671" s="5">
        <f>OBRA!U673</f>
        <v>45005</v>
      </c>
      <c r="T671" s="11">
        <f>OBRA!V673</f>
        <v>45009</v>
      </c>
      <c r="U671" s="1381" t="s">
        <v>5623</v>
      </c>
      <c r="V671" s="378" t="s">
        <v>1427</v>
      </c>
      <c r="W671" s="500" t="s">
        <v>6168</v>
      </c>
      <c r="X671" s="589" t="s">
        <v>6168</v>
      </c>
      <c r="Y671" s="1005" t="s">
        <v>1176</v>
      </c>
      <c r="Z671" s="310"/>
      <c r="AA671" s="310"/>
      <c r="AB671" s="5"/>
      <c r="AC671" s="318">
        <f>OBRA!BX673</f>
        <v>0</v>
      </c>
      <c r="AD671" s="353"/>
      <c r="AF671"/>
      <c r="AG671"/>
      <c r="AH671"/>
      <c r="AI671"/>
      <c r="AJ671"/>
      <c r="AK671"/>
      <c r="AL671"/>
      <c r="AM671"/>
    </row>
    <row r="672" spans="1:39" ht="91.5" customHeight="1">
      <c r="A672" s="22" t="s">
        <v>2209</v>
      </c>
      <c r="B672" s="814">
        <f>'ADMININSTRACIÓN DIR - OBRA'!B968</f>
        <v>0</v>
      </c>
      <c r="C672" s="16">
        <f>OBRA!K674</f>
        <v>2023</v>
      </c>
      <c r="D672" s="17" t="str">
        <f>OBRA!N674</f>
        <v>CUENTA CORRIENTE</v>
      </c>
      <c r="E672" s="479" t="s">
        <v>1427</v>
      </c>
      <c r="F672" s="163"/>
      <c r="G672" s="511"/>
      <c r="H672" s="163"/>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6554</v>
      </c>
      <c r="O672" s="2003"/>
      <c r="P672" s="6">
        <f>OBRA!T674</f>
        <v>45001</v>
      </c>
      <c r="Q672" s="4">
        <f>OBRA!S674</f>
        <v>18560</v>
      </c>
      <c r="R672" s="79" t="s">
        <v>67</v>
      </c>
      <c r="S672" s="5">
        <f>OBRA!U674</f>
        <v>45005</v>
      </c>
      <c r="T672" s="11">
        <f>OBRA!V674</f>
        <v>45009</v>
      </c>
      <c r="U672" s="1381" t="s">
        <v>5623</v>
      </c>
      <c r="V672" s="378" t="s">
        <v>1427</v>
      </c>
      <c r="W672" s="538"/>
      <c r="X672" s="438"/>
      <c r="Y672" s="1005" t="s">
        <v>1176</v>
      </c>
      <c r="Z672" s="310"/>
      <c r="AA672" s="310"/>
      <c r="AB672" s="5"/>
      <c r="AC672" s="318">
        <f>OBRA!BX674</f>
        <v>0</v>
      </c>
      <c r="AD672" s="353"/>
      <c r="AF672"/>
      <c r="AG672"/>
      <c r="AH672"/>
      <c r="AI672"/>
      <c r="AJ672"/>
      <c r="AK672"/>
      <c r="AL672"/>
      <c r="AM672"/>
    </row>
    <row r="673" spans="1:39" ht="75" customHeight="1">
      <c r="A673" s="22" t="s">
        <v>2209</v>
      </c>
      <c r="B673" s="814">
        <f>'ADMININSTRACIÓN DIR - OBRA'!B969</f>
        <v>0</v>
      </c>
      <c r="C673" s="16">
        <f>OBRA!K675</f>
        <v>2023</v>
      </c>
      <c r="D673" s="17" t="str">
        <f>OBRA!N675</f>
        <v>CUENTA CORRIENTE</v>
      </c>
      <c r="E673" s="479" t="s">
        <v>1427</v>
      </c>
      <c r="F673" s="497" t="s">
        <v>6120</v>
      </c>
      <c r="G673" s="496" t="s">
        <v>6120</v>
      </c>
      <c r="H673" s="163"/>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6554</v>
      </c>
      <c r="O673" s="2003" t="s">
        <v>6849</v>
      </c>
      <c r="P673" s="6">
        <f>OBRA!T675</f>
        <v>45005</v>
      </c>
      <c r="Q673" s="4">
        <f>OBRA!S675</f>
        <v>11600</v>
      </c>
      <c r="R673" s="79" t="s">
        <v>67</v>
      </c>
      <c r="S673" s="5">
        <f>OBRA!U675</f>
        <v>45012</v>
      </c>
      <c r="T673" s="11">
        <f>OBRA!V675</f>
        <v>45016</v>
      </c>
      <c r="U673" s="1381" t="s">
        <v>5623</v>
      </c>
      <c r="V673" s="378" t="s">
        <v>1427</v>
      </c>
      <c r="W673" s="538"/>
      <c r="X673" s="438"/>
      <c r="Y673" s="1005" t="s">
        <v>1176</v>
      </c>
      <c r="Z673" s="310"/>
      <c r="AA673" s="310"/>
      <c r="AB673" s="5"/>
      <c r="AC673" s="318">
        <f>OBRA!BX675</f>
        <v>0</v>
      </c>
      <c r="AD673" s="353"/>
      <c r="AF673"/>
      <c r="AG673"/>
      <c r="AH673"/>
      <c r="AI673"/>
      <c r="AJ673"/>
      <c r="AK673"/>
      <c r="AL673"/>
      <c r="AM673"/>
    </row>
    <row r="674" spans="1:39" ht="80.25" customHeight="1">
      <c r="A674" s="22" t="s">
        <v>2209</v>
      </c>
      <c r="B674" s="814">
        <f>'ADMININSTRACIÓN DIR - OBRA'!B970</f>
        <v>0</v>
      </c>
      <c r="C674" s="16">
        <f>OBRA!K676</f>
        <v>2023</v>
      </c>
      <c r="D674" s="17" t="str">
        <f>OBRA!N676</f>
        <v>CUENTA CORRIENTE</v>
      </c>
      <c r="E674" s="479" t="s">
        <v>1427</v>
      </c>
      <c r="F674" s="497" t="s">
        <v>6869</v>
      </c>
      <c r="G674" s="496" t="s">
        <v>6869</v>
      </c>
      <c r="H674" s="163"/>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6554</v>
      </c>
      <c r="O674" s="2003" t="s">
        <v>6851</v>
      </c>
      <c r="P674" s="6">
        <f>OBRA!T680</f>
        <v>45118</v>
      </c>
      <c r="Q674" s="4">
        <f>OBRA!S680</f>
        <v>96447.573600000003</v>
      </c>
      <c r="R674" s="79" t="s">
        <v>67</v>
      </c>
      <c r="S674" s="5">
        <f>OBRA!U680</f>
        <v>45120</v>
      </c>
      <c r="T674" s="11">
        <f>OBRA!V680</f>
        <v>45129</v>
      </c>
      <c r="U674" s="1381" t="s">
        <v>5623</v>
      </c>
      <c r="V674" s="378" t="s">
        <v>1427</v>
      </c>
      <c r="W674" s="538"/>
      <c r="X674" s="438"/>
      <c r="Y674" s="1005" t="s">
        <v>1176</v>
      </c>
      <c r="Z674" s="310"/>
      <c r="AA674" s="310"/>
      <c r="AB674" s="5"/>
      <c r="AC674" s="318">
        <f>OBRA!BX676</f>
        <v>0</v>
      </c>
      <c r="AD674" s="353"/>
      <c r="AF674"/>
      <c r="AG674"/>
      <c r="AH674"/>
      <c r="AI674"/>
      <c r="AJ674"/>
      <c r="AK674"/>
      <c r="AL674"/>
      <c r="AM674"/>
    </row>
    <row r="675" spans="1:39" ht="114.75" customHeight="1">
      <c r="A675" s="22" t="s">
        <v>2209</v>
      </c>
      <c r="B675" s="814">
        <f>'ADMININSTRACIÓN DIR - OBRA'!B971</f>
        <v>0</v>
      </c>
      <c r="C675" s="16">
        <f>OBRA!K677</f>
        <v>2023</v>
      </c>
      <c r="D675" s="17" t="str">
        <f>OBRA!N677</f>
        <v>CUENTA CORRIENTE</v>
      </c>
      <c r="E675" s="479" t="s">
        <v>1427</v>
      </c>
      <c r="F675" s="163"/>
      <c r="G675" s="511"/>
      <c r="H675" s="163"/>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6554</v>
      </c>
      <c r="O675" s="2003"/>
      <c r="P675" s="6">
        <f>OBRA!T677</f>
        <v>45065</v>
      </c>
      <c r="Q675" s="4">
        <f>OBRA!S677</f>
        <v>23200</v>
      </c>
      <c r="R675" s="79" t="s">
        <v>67</v>
      </c>
      <c r="S675" s="5">
        <f>OBRA!U677</f>
        <v>45068</v>
      </c>
      <c r="T675" s="11">
        <f>OBRA!V677</f>
        <v>45070</v>
      </c>
      <c r="U675" s="1381" t="s">
        <v>5623</v>
      </c>
      <c r="V675" s="378" t="s">
        <v>1427</v>
      </c>
      <c r="W675" s="538"/>
      <c r="X675" s="438"/>
      <c r="Y675" s="1005" t="s">
        <v>1176</v>
      </c>
      <c r="Z675" s="310"/>
      <c r="AA675" s="310"/>
      <c r="AB675" s="5"/>
      <c r="AC675" s="318">
        <f>OBRA!BX677</f>
        <v>0</v>
      </c>
      <c r="AD675" s="353"/>
      <c r="AF675"/>
      <c r="AG675"/>
      <c r="AH675"/>
      <c r="AI675"/>
      <c r="AJ675"/>
      <c r="AK675"/>
      <c r="AL675"/>
      <c r="AM675"/>
    </row>
    <row r="676" spans="1:39" ht="116.25" customHeight="1">
      <c r="A676" s="22" t="s">
        <v>2209</v>
      </c>
      <c r="B676" s="814">
        <f>'ADMININSTRACIÓN DIR - OBRA'!B972</f>
        <v>0</v>
      </c>
      <c r="C676" s="16">
        <f>OBRA!K678</f>
        <v>2023</v>
      </c>
      <c r="D676" s="17" t="str">
        <f>OBRA!N678</f>
        <v>CUENTA CORRIENTE</v>
      </c>
      <c r="E676" s="479" t="s">
        <v>1427</v>
      </c>
      <c r="F676" s="163"/>
      <c r="G676" s="511"/>
      <c r="H676" s="163"/>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6554</v>
      </c>
      <c r="O676" s="2003"/>
      <c r="P676" s="6">
        <f>OBRA!T678</f>
        <v>45069</v>
      </c>
      <c r="Q676" s="4">
        <f>OBRA!S678</f>
        <v>23200</v>
      </c>
      <c r="R676" s="79" t="s">
        <v>67</v>
      </c>
      <c r="S676" s="5">
        <f>OBRA!U678</f>
        <v>45071</v>
      </c>
      <c r="T676" s="11">
        <f>OBRA!V678</f>
        <v>45072</v>
      </c>
      <c r="U676" s="1381" t="s">
        <v>5623</v>
      </c>
      <c r="V676" s="378" t="s">
        <v>1427</v>
      </c>
      <c r="W676" s="538"/>
      <c r="X676" s="438"/>
      <c r="Y676" s="1005" t="s">
        <v>1176</v>
      </c>
      <c r="Z676" s="310"/>
      <c r="AA676" s="310"/>
      <c r="AB676" s="5"/>
      <c r="AC676" s="318">
        <f>OBRA!BX678</f>
        <v>0</v>
      </c>
      <c r="AD676" s="353"/>
      <c r="AF676"/>
      <c r="AG676"/>
      <c r="AH676"/>
      <c r="AI676"/>
      <c r="AJ676"/>
      <c r="AK676"/>
      <c r="AL676"/>
      <c r="AM676"/>
    </row>
    <row r="677" spans="1:39" ht="100.5" customHeight="1">
      <c r="A677" s="22" t="s">
        <v>2209</v>
      </c>
      <c r="B677" s="814">
        <f>'ADMININSTRACIÓN DIR - OBRA'!B973</f>
        <v>0</v>
      </c>
      <c r="C677" s="16">
        <f>OBRA!K679</f>
        <v>2023</v>
      </c>
      <c r="D677" s="17" t="str">
        <f>OBRA!N679</f>
        <v>CUENTA CORRIENTE</v>
      </c>
      <c r="E677" s="479" t="s">
        <v>1427</v>
      </c>
      <c r="F677" s="497" t="s">
        <v>5904</v>
      </c>
      <c r="G677" s="496" t="s">
        <v>5904</v>
      </c>
      <c r="H677" s="163"/>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6554</v>
      </c>
      <c r="O677" s="2003" t="s">
        <v>6850</v>
      </c>
      <c r="P677" s="6">
        <f>OBRA!T679</f>
        <v>45099</v>
      </c>
      <c r="Q677" s="4">
        <f>OBRA!S679</f>
        <v>5999.9955999999993</v>
      </c>
      <c r="R677" s="79" t="s">
        <v>67</v>
      </c>
      <c r="S677" s="5">
        <f>OBRA!U679</f>
        <v>45099</v>
      </c>
      <c r="T677" s="11">
        <f>OBRA!V679</f>
        <v>45103</v>
      </c>
      <c r="U677" s="1381" t="s">
        <v>5623</v>
      </c>
      <c r="V677" s="378" t="s">
        <v>1427</v>
      </c>
      <c r="W677" s="500" t="s">
        <v>5904</v>
      </c>
      <c r="X677" s="589" t="s">
        <v>5904</v>
      </c>
      <c r="Y677" s="1005" t="s">
        <v>1176</v>
      </c>
      <c r="Z677" s="310"/>
      <c r="AA677" s="310"/>
      <c r="AB677" s="5"/>
      <c r="AC677" s="318">
        <f>OBRA!BX679</f>
        <v>0</v>
      </c>
      <c r="AD677" s="353"/>
      <c r="AF677"/>
      <c r="AG677"/>
      <c r="AH677"/>
      <c r="AI677"/>
      <c r="AJ677"/>
      <c r="AK677"/>
      <c r="AL677"/>
      <c r="AM677"/>
    </row>
    <row r="678" spans="1:39" ht="76.5" customHeight="1">
      <c r="A678" s="22" t="s">
        <v>2209</v>
      </c>
      <c r="B678" s="814">
        <f>'ADMININSTRACIÓN DIR - OBRA'!B974</f>
        <v>0</v>
      </c>
      <c r="C678" s="16">
        <f>OBRA!K680</f>
        <v>2023</v>
      </c>
      <c r="D678" s="17" t="str">
        <f>OBRA!N680</f>
        <v>CUENTA CORRIENTE</v>
      </c>
      <c r="E678" s="479" t="s">
        <v>1427</v>
      </c>
      <c r="F678" s="497" t="s">
        <v>6869</v>
      </c>
      <c r="G678" s="496" t="s">
        <v>6869</v>
      </c>
      <c r="H678" s="163"/>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6554</v>
      </c>
      <c r="O678" s="2003" t="s">
        <v>6851</v>
      </c>
      <c r="P678" s="6">
        <f>OBRA!T680</f>
        <v>45118</v>
      </c>
      <c r="Q678" s="4">
        <f>OBRA!S680</f>
        <v>96447.573600000003</v>
      </c>
      <c r="R678" s="79" t="s">
        <v>67</v>
      </c>
      <c r="S678" s="5">
        <f>OBRA!U680</f>
        <v>45120</v>
      </c>
      <c r="T678" s="11">
        <f>OBRA!V680</f>
        <v>45129</v>
      </c>
      <c r="U678" s="1381" t="s">
        <v>5623</v>
      </c>
      <c r="V678" s="378" t="s">
        <v>1427</v>
      </c>
      <c r="W678" s="538"/>
      <c r="X678" s="438"/>
      <c r="Y678" s="1005" t="s">
        <v>1176</v>
      </c>
      <c r="Z678" s="310"/>
      <c r="AA678" s="310"/>
      <c r="AB678" s="5"/>
      <c r="AC678" s="318">
        <f>OBRA!BX680</f>
        <v>0</v>
      </c>
      <c r="AD678" s="353"/>
      <c r="AF678"/>
      <c r="AG678"/>
      <c r="AH678"/>
      <c r="AI678"/>
      <c r="AJ678"/>
      <c r="AK678"/>
      <c r="AL678"/>
      <c r="AM678"/>
    </row>
    <row r="679" spans="1:39" ht="191.25" customHeight="1">
      <c r="A679" s="22" t="s">
        <v>2209</v>
      </c>
      <c r="B679" s="814">
        <f>'ADMININSTRACIÓN DIR - OBRA'!B975</f>
        <v>0</v>
      </c>
      <c r="C679" s="16">
        <f>OBRA!K681</f>
        <v>2023</v>
      </c>
      <c r="D679" s="17" t="str">
        <f>OBRA!N681</f>
        <v>CUENTA CORRIENTE</v>
      </c>
      <c r="E679" s="479" t="s">
        <v>1427</v>
      </c>
      <c r="F679" s="163"/>
      <c r="G679" s="511"/>
      <c r="H679" s="163"/>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6554</v>
      </c>
      <c r="O679" s="2003"/>
      <c r="P679" s="6">
        <f>OBRA!T681</f>
        <v>45131</v>
      </c>
      <c r="Q679" s="4">
        <f>OBRA!S681</f>
        <v>17400</v>
      </c>
      <c r="R679" s="79" t="s">
        <v>67</v>
      </c>
      <c r="S679" s="5">
        <f>OBRA!U681</f>
        <v>45138</v>
      </c>
      <c r="T679" s="11">
        <f>OBRA!V681</f>
        <v>45187</v>
      </c>
      <c r="U679" s="1381" t="s">
        <v>5623</v>
      </c>
      <c r="V679" s="378" t="s">
        <v>1427</v>
      </c>
      <c r="W679" s="538"/>
      <c r="X679" s="438"/>
      <c r="Y679" s="1005" t="s">
        <v>1176</v>
      </c>
      <c r="Z679" s="310"/>
      <c r="AA679" s="310"/>
      <c r="AB679" s="5"/>
      <c r="AC679" s="318">
        <f>OBRA!BX681</f>
        <v>0</v>
      </c>
      <c r="AD679" s="353"/>
      <c r="AF679"/>
      <c r="AG679"/>
      <c r="AH679"/>
      <c r="AI679"/>
      <c r="AJ679"/>
      <c r="AK679"/>
      <c r="AL679"/>
      <c r="AM679"/>
    </row>
    <row r="680" spans="1:39" ht="81.75" customHeight="1">
      <c r="A680" s="22" t="s">
        <v>2209</v>
      </c>
      <c r="B680" s="814">
        <f>'ADMININSTRACIÓN DIR - OBRA'!B976</f>
        <v>0</v>
      </c>
      <c r="C680" s="16">
        <f>OBRA!K682</f>
        <v>2023</v>
      </c>
      <c r="D680" s="17" t="str">
        <f>OBRA!N682</f>
        <v>CUENTA CORRIENTE</v>
      </c>
      <c r="E680" s="479" t="s">
        <v>1427</v>
      </c>
      <c r="F680" s="163"/>
      <c r="G680" s="511"/>
      <c r="H680" s="163"/>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6554</v>
      </c>
      <c r="O680" s="2003"/>
      <c r="P680" s="6">
        <f>OBRA!T682</f>
        <v>45133</v>
      </c>
      <c r="Q680" s="4">
        <f>OBRA!S682</f>
        <v>73689.208799999993</v>
      </c>
      <c r="R680" s="79" t="s">
        <v>67</v>
      </c>
      <c r="S680" s="5">
        <f>OBRA!U682</f>
        <v>45141</v>
      </c>
      <c r="T680" s="11">
        <f>OBRA!V682</f>
        <v>45155</v>
      </c>
      <c r="U680" s="1381" t="s">
        <v>5623</v>
      </c>
      <c r="V680" s="378" t="s">
        <v>1427</v>
      </c>
      <c r="W680" s="538"/>
      <c r="X680" s="438"/>
      <c r="Y680" s="1005" t="s">
        <v>1176</v>
      </c>
      <c r="Z680" s="310"/>
      <c r="AA680" s="310"/>
      <c r="AB680" s="5"/>
      <c r="AC680" s="318">
        <f>OBRA!BX682</f>
        <v>0</v>
      </c>
      <c r="AD680" s="353"/>
      <c r="AF680"/>
      <c r="AG680"/>
      <c r="AH680"/>
      <c r="AI680"/>
      <c r="AJ680"/>
      <c r="AK680"/>
      <c r="AL680"/>
      <c r="AM680"/>
    </row>
    <row r="681" spans="1:39" ht="93" customHeight="1">
      <c r="A681" s="22" t="s">
        <v>2209</v>
      </c>
      <c r="B681" s="814">
        <f>'ADMININSTRACIÓN DIR - OBRA'!B977</f>
        <v>0</v>
      </c>
      <c r="C681" s="16">
        <f>OBRA!K683</f>
        <v>2023</v>
      </c>
      <c r="D681" s="17" t="str">
        <f>OBRA!N683</f>
        <v>CUENTA CORRIENTE</v>
      </c>
      <c r="E681" s="479" t="s">
        <v>1427</v>
      </c>
      <c r="F681" s="163"/>
      <c r="G681" s="511"/>
      <c r="H681" s="163"/>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544"/>
      <c r="O681" s="2004"/>
      <c r="P681" s="6">
        <f>OBRA!T683</f>
        <v>45148</v>
      </c>
      <c r="Q681" s="4">
        <f>OBRA!S683</f>
        <v>161863.23319999999</v>
      </c>
      <c r="R681" s="79" t="s">
        <v>67</v>
      </c>
      <c r="S681" s="5">
        <f>OBRA!U683</f>
        <v>45152</v>
      </c>
      <c r="T681" s="11">
        <f>OBRA!V683</f>
        <v>45163</v>
      </c>
      <c r="U681" s="1381" t="s">
        <v>5623</v>
      </c>
      <c r="V681" s="378" t="s">
        <v>1427</v>
      </c>
      <c r="W681" s="538"/>
      <c r="X681" s="438"/>
      <c r="Y681" s="1005" t="s">
        <v>1176</v>
      </c>
      <c r="Z681" s="310"/>
      <c r="AA681" s="310"/>
      <c r="AB681" s="5"/>
      <c r="AC681" s="318">
        <f>OBRA!BX683</f>
        <v>0</v>
      </c>
      <c r="AD681" s="353"/>
      <c r="AF681"/>
      <c r="AG681"/>
      <c r="AH681"/>
      <c r="AI681"/>
      <c r="AJ681"/>
      <c r="AK681"/>
      <c r="AL681"/>
      <c r="AM681"/>
    </row>
    <row r="682" spans="1:39" ht="128.25" customHeight="1">
      <c r="A682" s="22" t="s">
        <v>2209</v>
      </c>
      <c r="B682" s="814">
        <f>'ADMININSTRACIÓN DIR - OBRA'!B978</f>
        <v>0</v>
      </c>
      <c r="C682" s="16">
        <f>OBRA!K684</f>
        <v>2023</v>
      </c>
      <c r="D682" s="17" t="str">
        <f>OBRA!N684</f>
        <v>CUENTA CORRIENTE</v>
      </c>
      <c r="E682" s="479" t="s">
        <v>1427</v>
      </c>
      <c r="F682" s="163"/>
      <c r="G682" s="511"/>
      <c r="H682" s="163"/>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6554</v>
      </c>
      <c r="O682" s="2003"/>
      <c r="P682" s="6">
        <f>OBRA!T684</f>
        <v>45140</v>
      </c>
      <c r="Q682" s="4">
        <f>OBRA!S684</f>
        <v>34800</v>
      </c>
      <c r="R682" s="79" t="s">
        <v>67</v>
      </c>
      <c r="S682" s="5">
        <f>OBRA!U684</f>
        <v>45141</v>
      </c>
      <c r="T682" s="11">
        <f>OBRA!V684</f>
        <v>45143</v>
      </c>
      <c r="U682" s="1381" t="s">
        <v>5623</v>
      </c>
      <c r="V682" s="378" t="s">
        <v>1427</v>
      </c>
      <c r="W682" s="538"/>
      <c r="X682" s="438"/>
      <c r="Y682" s="1005" t="s">
        <v>1176</v>
      </c>
      <c r="Z682" s="310"/>
      <c r="AA682" s="310"/>
      <c r="AB682" s="5"/>
      <c r="AC682" s="318">
        <f>OBRA!BX684</f>
        <v>0</v>
      </c>
      <c r="AD682" s="353"/>
      <c r="AF682"/>
      <c r="AG682"/>
      <c r="AH682"/>
      <c r="AI682"/>
      <c r="AJ682"/>
      <c r="AK682"/>
      <c r="AL682"/>
      <c r="AM682"/>
    </row>
    <row r="683" spans="1:39" ht="138" customHeight="1">
      <c r="A683" s="22" t="s">
        <v>2209</v>
      </c>
      <c r="B683" s="814">
        <f>'ADMININSTRACIÓN DIR - OBRA'!B979</f>
        <v>0</v>
      </c>
      <c r="C683" s="16">
        <f>OBRA!K685</f>
        <v>2023</v>
      </c>
      <c r="D683" s="17" t="str">
        <f>OBRA!N685</f>
        <v>CUENTA CORRIENTE</v>
      </c>
      <c r="E683" s="479" t="s">
        <v>1427</v>
      </c>
      <c r="F683" s="497" t="s">
        <v>5904</v>
      </c>
      <c r="G683" s="496" t="s">
        <v>5904</v>
      </c>
      <c r="H683" s="163"/>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6554</v>
      </c>
      <c r="O683" s="2003" t="s">
        <v>6850</v>
      </c>
      <c r="P683" s="6">
        <f>OBRA!T685</f>
        <v>45140</v>
      </c>
      <c r="Q683" s="4">
        <f>OBRA!S685</f>
        <v>54531.6</v>
      </c>
      <c r="R683" s="79" t="s">
        <v>67</v>
      </c>
      <c r="S683" s="5">
        <f>OBRA!U685</f>
        <v>45152</v>
      </c>
      <c r="T683" s="11">
        <f>OBRA!V685</f>
        <v>45155</v>
      </c>
      <c r="U683" s="1381" t="s">
        <v>5623</v>
      </c>
      <c r="V683" s="378" t="s">
        <v>1427</v>
      </c>
      <c r="W683" s="500" t="s">
        <v>5904</v>
      </c>
      <c r="X683" s="589" t="s">
        <v>5904</v>
      </c>
      <c r="Y683" s="1005" t="s">
        <v>1176</v>
      </c>
      <c r="Z683" s="310"/>
      <c r="AA683" s="310"/>
      <c r="AB683" s="5"/>
      <c r="AC683" s="318">
        <f>OBRA!BX685</f>
        <v>0</v>
      </c>
      <c r="AD683" s="353"/>
      <c r="AF683"/>
      <c r="AG683"/>
      <c r="AH683"/>
      <c r="AI683"/>
      <c r="AJ683"/>
      <c r="AK683"/>
      <c r="AL683"/>
      <c r="AM683"/>
    </row>
    <row r="684" spans="1:39" ht="124.5" customHeight="1">
      <c r="A684" s="22" t="s">
        <v>2209</v>
      </c>
      <c r="B684" s="814">
        <f>'ADMININSTRACIÓN DIR - OBRA'!B980</f>
        <v>0</v>
      </c>
      <c r="C684" s="16">
        <f>OBRA!K686</f>
        <v>2023</v>
      </c>
      <c r="D684" s="17" t="str">
        <f>OBRA!N686</f>
        <v>CUENTA CORRIENTE</v>
      </c>
      <c r="E684" s="479" t="s">
        <v>1427</v>
      </c>
      <c r="F684" s="163"/>
      <c r="G684" s="511"/>
      <c r="H684" s="163"/>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6554</v>
      </c>
      <c r="O684" s="2003"/>
      <c r="P684" s="6">
        <f>OBRA!T686</f>
        <v>45140</v>
      </c>
      <c r="Q684" s="4">
        <f>OBRA!S686</f>
        <v>34800</v>
      </c>
      <c r="R684" s="79" t="s">
        <v>67</v>
      </c>
      <c r="S684" s="5">
        <f>OBRA!U686</f>
        <v>45144</v>
      </c>
      <c r="T684" s="11">
        <f>OBRA!V686</f>
        <v>45146</v>
      </c>
      <c r="U684" s="1381" t="s">
        <v>5623</v>
      </c>
      <c r="V684" s="378" t="s">
        <v>1427</v>
      </c>
      <c r="W684" s="538"/>
      <c r="X684" s="438"/>
      <c r="Y684" s="1005" t="s">
        <v>1176</v>
      </c>
      <c r="Z684" s="310"/>
      <c r="AA684" s="310"/>
      <c r="AB684" s="5"/>
      <c r="AC684" s="318">
        <f>OBRA!BX686</f>
        <v>0</v>
      </c>
      <c r="AD684" s="353"/>
      <c r="AF684"/>
      <c r="AG684"/>
      <c r="AH684"/>
      <c r="AI684"/>
      <c r="AJ684"/>
      <c r="AK684"/>
      <c r="AL684"/>
      <c r="AM684"/>
    </row>
    <row r="685" spans="1:39" ht="111.75" customHeight="1">
      <c r="A685" s="22" t="s">
        <v>2209</v>
      </c>
      <c r="B685" s="814">
        <f>'ADMININSTRACIÓN DIR - OBRA'!B981</f>
        <v>0</v>
      </c>
      <c r="C685" s="16">
        <f>OBRA!K687</f>
        <v>2023</v>
      </c>
      <c r="D685" s="17" t="str">
        <f>OBRA!N687</f>
        <v>CUENTA CORRIENTE</v>
      </c>
      <c r="E685" s="479" t="s">
        <v>1427</v>
      </c>
      <c r="F685" s="497" t="s">
        <v>6052</v>
      </c>
      <c r="G685" s="496" t="s">
        <v>6052</v>
      </c>
      <c r="H685" s="163"/>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6554</v>
      </c>
      <c r="O685" s="2003" t="s">
        <v>6846</v>
      </c>
      <c r="P685" s="6">
        <f>OBRA!T687</f>
        <v>45140</v>
      </c>
      <c r="Q685" s="4">
        <f>OBRA!S687</f>
        <v>3500</v>
      </c>
      <c r="R685" s="79" t="s">
        <v>67</v>
      </c>
      <c r="S685" s="5">
        <f>OBRA!U687</f>
        <v>45142</v>
      </c>
      <c r="T685" s="11">
        <f>OBRA!V687</f>
        <v>45142</v>
      </c>
      <c r="U685" s="1381" t="s">
        <v>5623</v>
      </c>
      <c r="V685" s="378" t="s">
        <v>1427</v>
      </c>
      <c r="W685" s="500" t="s">
        <v>6052</v>
      </c>
      <c r="X685" s="589" t="s">
        <v>6052</v>
      </c>
      <c r="Y685" s="1005" t="s">
        <v>1176</v>
      </c>
      <c r="Z685" s="310"/>
      <c r="AA685" s="310"/>
      <c r="AB685" s="5"/>
      <c r="AC685" s="318">
        <f>OBRA!BX687</f>
        <v>0</v>
      </c>
      <c r="AD685" s="353"/>
      <c r="AF685"/>
      <c r="AG685"/>
      <c r="AH685"/>
      <c r="AI685"/>
      <c r="AJ685"/>
      <c r="AK685"/>
      <c r="AL685"/>
      <c r="AM685"/>
    </row>
    <row r="686" spans="1:39" ht="119.25" customHeight="1">
      <c r="A686" s="22" t="s">
        <v>2209</v>
      </c>
      <c r="B686" s="814">
        <f>'ADMININSTRACIÓN DIR - OBRA'!B982</f>
        <v>0</v>
      </c>
      <c r="C686" s="16">
        <f>OBRA!K688</f>
        <v>2023</v>
      </c>
      <c r="D686" s="17" t="str">
        <f>OBRA!N688</f>
        <v>CUENTA CORRIENTE</v>
      </c>
      <c r="E686" s="479" t="s">
        <v>1427</v>
      </c>
      <c r="F686" s="163"/>
      <c r="G686" s="511"/>
      <c r="H686" s="163"/>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6554</v>
      </c>
      <c r="O686" s="2003"/>
      <c r="P686" s="6">
        <f>OBRA!T688</f>
        <v>45140</v>
      </c>
      <c r="Q686" s="4">
        <f>OBRA!S688</f>
        <v>3500</v>
      </c>
      <c r="R686" s="79" t="s">
        <v>67</v>
      </c>
      <c r="S686" s="5">
        <f>OBRA!U688</f>
        <v>45143</v>
      </c>
      <c r="T686" s="11">
        <f>OBRA!V688</f>
        <v>45143</v>
      </c>
      <c r="U686" s="1381" t="s">
        <v>5623</v>
      </c>
      <c r="V686" s="378" t="s">
        <v>1427</v>
      </c>
      <c r="W686" s="538"/>
      <c r="X686" s="438"/>
      <c r="Y686" s="1005" t="s">
        <v>1176</v>
      </c>
      <c r="Z686" s="310"/>
      <c r="AA686" s="310"/>
      <c r="AB686" s="5"/>
      <c r="AC686" s="318">
        <f>OBRA!BX688</f>
        <v>0</v>
      </c>
      <c r="AD686" s="353"/>
      <c r="AF686"/>
      <c r="AG686"/>
      <c r="AH686"/>
      <c r="AI686"/>
      <c r="AJ686"/>
      <c r="AK686"/>
      <c r="AL686"/>
      <c r="AM686"/>
    </row>
    <row r="687" spans="1:39" ht="116.25" customHeight="1">
      <c r="A687" s="22" t="s">
        <v>2209</v>
      </c>
      <c r="B687" s="814">
        <f>'ADMININSTRACIÓN DIR - OBRA'!B983</f>
        <v>0</v>
      </c>
      <c r="C687" s="16">
        <f>OBRA!K689</f>
        <v>2023</v>
      </c>
      <c r="D687" s="17" t="str">
        <f>OBRA!N689</f>
        <v>CUENTA CORRIENTE</v>
      </c>
      <c r="E687" s="479" t="s">
        <v>1427</v>
      </c>
      <c r="F687" s="163"/>
      <c r="G687" s="511"/>
      <c r="H687" s="163"/>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6554</v>
      </c>
      <c r="O687" s="2003"/>
      <c r="P687" s="6">
        <f>OBRA!T689</f>
        <v>45140</v>
      </c>
      <c r="Q687" s="4">
        <f>OBRA!S689</f>
        <v>3500</v>
      </c>
      <c r="R687" s="79" t="s">
        <v>67</v>
      </c>
      <c r="S687" s="5">
        <f>OBRA!U689</f>
        <v>45145</v>
      </c>
      <c r="T687" s="11">
        <f>OBRA!V689</f>
        <v>45145</v>
      </c>
      <c r="U687" s="1381" t="s">
        <v>5623</v>
      </c>
      <c r="V687" s="378" t="s">
        <v>1427</v>
      </c>
      <c r="W687" s="538"/>
      <c r="X687" s="438"/>
      <c r="Y687" s="1005" t="s">
        <v>1176</v>
      </c>
      <c r="Z687" s="310"/>
      <c r="AA687" s="310"/>
      <c r="AB687" s="5"/>
      <c r="AC687" s="318">
        <f>OBRA!BX689</f>
        <v>0</v>
      </c>
      <c r="AD687" s="353"/>
      <c r="AF687"/>
      <c r="AG687"/>
      <c r="AH687"/>
      <c r="AI687"/>
      <c r="AJ687"/>
      <c r="AK687"/>
      <c r="AL687"/>
      <c r="AM687"/>
    </row>
    <row r="688" spans="1:39" ht="107.25" customHeight="1">
      <c r="A688" s="22" t="s">
        <v>2209</v>
      </c>
      <c r="B688" s="814">
        <f>'ADMININSTRACIÓN DIR - OBRA'!B984</f>
        <v>0</v>
      </c>
      <c r="C688" s="16">
        <f>OBRA!K690</f>
        <v>2023</v>
      </c>
      <c r="D688" s="17" t="str">
        <f>OBRA!N690</f>
        <v>CUENTA CORRIENTE</v>
      </c>
      <c r="E688" s="479" t="s">
        <v>1427</v>
      </c>
      <c r="F688" s="163"/>
      <c r="G688" s="511"/>
      <c r="H688" s="163"/>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6554</v>
      </c>
      <c r="O688" s="2003"/>
      <c r="P688" s="6">
        <f>OBRA!T690</f>
        <v>45168</v>
      </c>
      <c r="Q688" s="4">
        <f>OBRA!S690</f>
        <v>50489.60319999999</v>
      </c>
      <c r="R688" s="79" t="s">
        <v>67</v>
      </c>
      <c r="S688" s="5">
        <f>OBRA!U690</f>
        <v>45175</v>
      </c>
      <c r="T688" s="11">
        <f>OBRA!V690</f>
        <v>45184</v>
      </c>
      <c r="U688" s="1381" t="s">
        <v>5623</v>
      </c>
      <c r="V688" s="378" t="s">
        <v>1427</v>
      </c>
      <c r="W688" s="538"/>
      <c r="X688" s="438"/>
      <c r="Y688" s="1005" t="s">
        <v>1176</v>
      </c>
      <c r="Z688" s="310"/>
      <c r="AA688" s="310"/>
      <c r="AB688" s="5"/>
      <c r="AC688" s="318">
        <f>OBRA!BX690</f>
        <v>0</v>
      </c>
      <c r="AD688" s="353"/>
      <c r="AF688"/>
      <c r="AG688"/>
      <c r="AH688"/>
      <c r="AI688"/>
      <c r="AJ688"/>
      <c r="AK688"/>
      <c r="AL688"/>
      <c r="AM688"/>
    </row>
    <row r="689" spans="1:39" ht="91.5" customHeight="1">
      <c r="A689" s="22" t="s">
        <v>2209</v>
      </c>
      <c r="B689" s="814">
        <f>'ADMININSTRACIÓN DIR - OBRA'!B965</f>
        <v>0</v>
      </c>
      <c r="C689" s="16">
        <f>OBRA!K691</f>
        <v>2023</v>
      </c>
      <c r="D689" s="17" t="str">
        <f>OBRA!N691</f>
        <v>CUENTA CORRIENTE</v>
      </c>
      <c r="E689" s="479" t="s">
        <v>1427</v>
      </c>
      <c r="F689" s="163"/>
      <c r="G689" s="511"/>
      <c r="H689" s="163"/>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6555</v>
      </c>
      <c r="O689" s="2003"/>
      <c r="P689" s="6">
        <f>OBRA!T691</f>
        <v>45168</v>
      </c>
      <c r="Q689" s="4">
        <f>OBRA!S691</f>
        <v>142089.26999999999</v>
      </c>
      <c r="R689" s="79" t="s">
        <v>67</v>
      </c>
      <c r="S689" s="5">
        <f>OBRA!U691</f>
        <v>45180</v>
      </c>
      <c r="T689" s="11">
        <f>OBRA!V691</f>
        <v>45197</v>
      </c>
      <c r="U689" s="208" t="s">
        <v>5624</v>
      </c>
      <c r="V689" s="378" t="s">
        <v>1427</v>
      </c>
      <c r="W689" s="538"/>
      <c r="X689" s="438"/>
      <c r="Y689" s="1005" t="s">
        <v>1176</v>
      </c>
      <c r="Z689" s="310"/>
      <c r="AA689" s="310"/>
      <c r="AB689" s="5"/>
      <c r="AC689" s="318" t="e">
        <f>OBRA!#REF!</f>
        <v>#REF!</v>
      </c>
      <c r="AD689" s="353"/>
      <c r="AF689"/>
      <c r="AG689"/>
      <c r="AH689"/>
      <c r="AI689"/>
      <c r="AJ689"/>
      <c r="AK689"/>
      <c r="AL689"/>
      <c r="AM689"/>
    </row>
    <row r="690" spans="1:39" ht="94.5" customHeight="1">
      <c r="A690" s="22" t="s">
        <v>2209</v>
      </c>
      <c r="B690" s="814">
        <f>'ADMININSTRACIÓN DIR - OBRA'!B966</f>
        <v>0</v>
      </c>
      <c r="C690" s="16">
        <f>OBRA!K692</f>
        <v>2023</v>
      </c>
      <c r="D690" s="17" t="str">
        <f>OBRA!N692</f>
        <v>CUENTA CORRIENTE</v>
      </c>
      <c r="E690" s="479" t="s">
        <v>1427</v>
      </c>
      <c r="F690" s="497" t="s">
        <v>6060</v>
      </c>
      <c r="G690" s="496" t="s">
        <v>6060</v>
      </c>
      <c r="H690" s="163"/>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6555</v>
      </c>
      <c r="O690" s="2003" t="s">
        <v>6852</v>
      </c>
      <c r="P690" s="6">
        <f>OBRA!T692</f>
        <v>45173</v>
      </c>
      <c r="Q690" s="4">
        <f>OBRA!S692</f>
        <v>9860</v>
      </c>
      <c r="R690" s="79" t="s">
        <v>67</v>
      </c>
      <c r="S690" s="5">
        <f>OBRA!U692</f>
        <v>45175</v>
      </c>
      <c r="T690" s="11">
        <f>OBRA!V692</f>
        <v>45177</v>
      </c>
      <c r="U690" s="208" t="s">
        <v>5624</v>
      </c>
      <c r="V690" s="378" t="s">
        <v>1427</v>
      </c>
      <c r="W690" s="500" t="s">
        <v>6060</v>
      </c>
      <c r="X690" s="206" t="s">
        <v>1427</v>
      </c>
      <c r="Y690" s="1005" t="s">
        <v>1176</v>
      </c>
      <c r="Z690" s="310"/>
      <c r="AA690" s="310"/>
      <c r="AB690" s="5"/>
      <c r="AC690" s="318" t="e">
        <f>OBRA!#REF!</f>
        <v>#REF!</v>
      </c>
      <c r="AD690" s="353"/>
      <c r="AF690"/>
      <c r="AG690"/>
      <c r="AH690"/>
      <c r="AI690"/>
      <c r="AJ690"/>
      <c r="AK690"/>
      <c r="AL690"/>
      <c r="AM690"/>
    </row>
    <row r="691" spans="1:39" ht="297.75" customHeight="1">
      <c r="A691" s="22" t="s">
        <v>2209</v>
      </c>
      <c r="B691" s="814">
        <f>'ADMININSTRACIÓN DIR - OBRA'!B967</f>
        <v>0</v>
      </c>
      <c r="C691" s="16">
        <f>OBRA!K693</f>
        <v>2023</v>
      </c>
      <c r="D691" s="17" t="str">
        <f>OBRA!N693</f>
        <v>CUENTA CORRIENTE</v>
      </c>
      <c r="E691" s="479" t="s">
        <v>1427</v>
      </c>
      <c r="F691" s="163"/>
      <c r="G691" s="511"/>
      <c r="H691" s="163"/>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6555</v>
      </c>
      <c r="O691" s="2003"/>
      <c r="P691" s="6">
        <f>OBRA!T693</f>
        <v>45190</v>
      </c>
      <c r="Q691" s="4">
        <f>OBRA!S693</f>
        <v>34800</v>
      </c>
      <c r="R691" s="79" t="s">
        <v>67</v>
      </c>
      <c r="S691" s="5">
        <f>OBRA!U693</f>
        <v>45194</v>
      </c>
      <c r="T691" s="11">
        <f>OBRA!V693</f>
        <v>45195</v>
      </c>
      <c r="U691" s="208" t="s">
        <v>5624</v>
      </c>
      <c r="V691" s="378" t="s">
        <v>1427</v>
      </c>
      <c r="W691" s="538"/>
      <c r="X691" s="438"/>
      <c r="Y691" s="1005" t="s">
        <v>1176</v>
      </c>
      <c r="Z691" s="310"/>
      <c r="AA691" s="310"/>
      <c r="AB691" s="5"/>
      <c r="AC691" s="318" t="e">
        <f>OBRA!#REF!</f>
        <v>#REF!</v>
      </c>
      <c r="AD691" s="353"/>
      <c r="AF691"/>
      <c r="AG691"/>
      <c r="AH691"/>
      <c r="AI691"/>
      <c r="AJ691"/>
      <c r="AK691"/>
      <c r="AL691"/>
      <c r="AM691"/>
    </row>
    <row r="692" spans="1:39" ht="140.25" customHeight="1">
      <c r="A692" s="22" t="s">
        <v>2209</v>
      </c>
      <c r="B692" s="814">
        <f>'ADMININSTRACIÓN DIR - OBRA'!B968</f>
        <v>0</v>
      </c>
      <c r="C692" s="16">
        <f>OBRA!K694</f>
        <v>2023</v>
      </c>
      <c r="D692" s="17" t="str">
        <f>OBRA!N694</f>
        <v>CUENTA CORRIENTE</v>
      </c>
      <c r="E692" s="479" t="s">
        <v>1427</v>
      </c>
      <c r="F692" s="163"/>
      <c r="G692" s="511"/>
      <c r="H692" s="163"/>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6555</v>
      </c>
      <c r="O692" s="2003"/>
      <c r="P692" s="6">
        <f>OBRA!T694</f>
        <v>45209</v>
      </c>
      <c r="Q692" s="4">
        <f>OBRA!S694</f>
        <v>54287.999999999993</v>
      </c>
      <c r="R692" s="79" t="s">
        <v>67</v>
      </c>
      <c r="S692" s="5">
        <f>OBRA!U694</f>
        <v>45210</v>
      </c>
      <c r="T692" s="11">
        <f>OBRA!V694</f>
        <v>45243</v>
      </c>
      <c r="U692" s="208" t="s">
        <v>5624</v>
      </c>
      <c r="V692" s="378" t="s">
        <v>1427</v>
      </c>
      <c r="W692" s="538"/>
      <c r="X692" s="438"/>
      <c r="Y692" s="1005" t="s">
        <v>1176</v>
      </c>
      <c r="Z692" s="310"/>
      <c r="AA692" s="310"/>
      <c r="AB692" s="5"/>
      <c r="AC692" s="318" t="e">
        <f>OBRA!#REF!</f>
        <v>#REF!</v>
      </c>
      <c r="AD692" s="353"/>
      <c r="AF692"/>
      <c r="AG692"/>
      <c r="AH692"/>
      <c r="AI692"/>
      <c r="AJ692"/>
      <c r="AK692"/>
      <c r="AL692"/>
      <c r="AM692"/>
    </row>
    <row r="693" spans="1:39" ht="111.75" customHeight="1">
      <c r="A693" s="22" t="s">
        <v>2209</v>
      </c>
      <c r="B693" s="814">
        <f>'ADMININSTRACIÓN DIR - OBRA'!B969</f>
        <v>0</v>
      </c>
      <c r="C693" s="16">
        <f>OBRA!K695</f>
        <v>2023</v>
      </c>
      <c r="D693" s="17" t="str">
        <f>OBRA!N695</f>
        <v>CUENTA CORRIENTE</v>
      </c>
      <c r="E693" s="479" t="s">
        <v>1427</v>
      </c>
      <c r="F693" s="497" t="s">
        <v>5527</v>
      </c>
      <c r="G693" s="496" t="s">
        <v>5527</v>
      </c>
      <c r="H693" s="163"/>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6555</v>
      </c>
      <c r="O693" s="2003" t="s">
        <v>6853</v>
      </c>
      <c r="P693" s="6">
        <f>OBRA!T695</f>
        <v>45233</v>
      </c>
      <c r="Q693" s="4">
        <f>OBRA!S695</f>
        <v>30376.572</v>
      </c>
      <c r="R693" s="79" t="s">
        <v>67</v>
      </c>
      <c r="S693" s="5">
        <f>OBRA!U695</f>
        <v>45237</v>
      </c>
      <c r="T693" s="11">
        <f>OBRA!V695</f>
        <v>45239</v>
      </c>
      <c r="U693" s="208" t="s">
        <v>5624</v>
      </c>
      <c r="V693" s="378" t="s">
        <v>1427</v>
      </c>
      <c r="W693" s="500" t="s">
        <v>5527</v>
      </c>
      <c r="X693" s="438"/>
      <c r="Y693" s="1005" t="s">
        <v>1176</v>
      </c>
      <c r="Z693" s="310"/>
      <c r="AA693" s="310"/>
      <c r="AB693" s="5"/>
      <c r="AC693" s="318" t="e">
        <f>OBRA!#REF!</f>
        <v>#REF!</v>
      </c>
      <c r="AD693" s="353"/>
      <c r="AF693"/>
      <c r="AG693"/>
      <c r="AH693"/>
      <c r="AI693"/>
      <c r="AJ693"/>
      <c r="AK693"/>
      <c r="AL693"/>
      <c r="AM693"/>
    </row>
    <row r="694" spans="1:39" ht="247.5" customHeight="1">
      <c r="A694" s="22" t="s">
        <v>2209</v>
      </c>
      <c r="B694" s="814">
        <f>'ADMININSTRACIÓN DIR - OBRA'!B970</f>
        <v>0</v>
      </c>
      <c r="C694" s="16">
        <f>OBRA!K696</f>
        <v>2023</v>
      </c>
      <c r="D694" s="17" t="str">
        <f>OBRA!N696</f>
        <v>CUENTA CORRIENTE</v>
      </c>
      <c r="E694" s="479" t="s">
        <v>1427</v>
      </c>
      <c r="F694" s="163"/>
      <c r="G694" s="511"/>
      <c r="H694" s="163"/>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6555</v>
      </c>
      <c r="O694" s="2003"/>
      <c r="P694" s="6">
        <f>OBRA!T696</f>
        <v>45225</v>
      </c>
      <c r="Q694" s="4">
        <f>OBRA!S696</f>
        <v>56143.999999999993</v>
      </c>
      <c r="R694" s="79" t="s">
        <v>67</v>
      </c>
      <c r="S694" s="5">
        <f>OBRA!U696</f>
        <v>45226</v>
      </c>
      <c r="T694" s="11">
        <f>OBRA!V696</f>
        <v>45229</v>
      </c>
      <c r="U694" s="208" t="s">
        <v>5624</v>
      </c>
      <c r="V694" s="378" t="s">
        <v>1427</v>
      </c>
      <c r="W694" s="538"/>
      <c r="X694" s="438"/>
      <c r="Y694" s="1005" t="s">
        <v>1176</v>
      </c>
      <c r="Z694" s="310"/>
      <c r="AA694" s="310"/>
      <c r="AB694" s="5"/>
      <c r="AC694" s="318" t="e">
        <f>OBRA!#REF!</f>
        <v>#REF!</v>
      </c>
      <c r="AD694" s="353"/>
      <c r="AF694"/>
      <c r="AG694"/>
      <c r="AH694"/>
      <c r="AI694"/>
      <c r="AJ694"/>
      <c r="AK694"/>
      <c r="AL694"/>
      <c r="AM694"/>
    </row>
    <row r="695" spans="1:39" ht="107.25" customHeight="1">
      <c r="A695" s="22" t="s">
        <v>2209</v>
      </c>
      <c r="B695" s="814">
        <f>'ADMININSTRACIÓN DIR - OBRA'!B971</f>
        <v>0</v>
      </c>
      <c r="C695" s="16">
        <f>OBRA!K697</f>
        <v>2023</v>
      </c>
      <c r="D695" s="17" t="str">
        <f>OBRA!N697</f>
        <v>CUENTA CORRIENTE</v>
      </c>
      <c r="E695" s="479" t="s">
        <v>1427</v>
      </c>
      <c r="F695" s="1251"/>
      <c r="G695" s="496" t="s">
        <v>6550</v>
      </c>
      <c r="H695" s="163"/>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6555</v>
      </c>
      <c r="O695" s="2003" t="s">
        <v>6854</v>
      </c>
      <c r="P695" s="6">
        <f>OBRA!T697</f>
        <v>45264</v>
      </c>
      <c r="Q695" s="4">
        <f>OBRA!S697</f>
        <v>102831.39</v>
      </c>
      <c r="R695" s="79" t="s">
        <v>67</v>
      </c>
      <c r="S695" s="5">
        <f>OBRA!U697</f>
        <v>45266</v>
      </c>
      <c r="T695" s="11">
        <f>OBRA!V697</f>
        <v>45301</v>
      </c>
      <c r="U695" s="208" t="s">
        <v>5624</v>
      </c>
      <c r="V695" s="378" t="s">
        <v>1427</v>
      </c>
      <c r="W695" s="500" t="s">
        <v>6550</v>
      </c>
      <c r="X695" s="589" t="s">
        <v>6550</v>
      </c>
      <c r="Y695" s="1005" t="s">
        <v>1176</v>
      </c>
      <c r="Z695" s="310"/>
      <c r="AA695" s="310"/>
      <c r="AB695" s="5"/>
      <c r="AC695" s="318" t="e">
        <f>OBRA!#REF!</f>
        <v>#REF!</v>
      </c>
      <c r="AD695" s="353"/>
      <c r="AF695"/>
      <c r="AG695"/>
      <c r="AH695"/>
      <c r="AI695"/>
      <c r="AJ695"/>
      <c r="AK695"/>
      <c r="AL695"/>
      <c r="AM695"/>
    </row>
    <row r="696" spans="1:39" ht="135" customHeight="1">
      <c r="A696" s="22" t="s">
        <v>2209</v>
      </c>
      <c r="B696" s="814">
        <f>'ADMININSTRACIÓN DIR - OBRA'!B971</f>
        <v>0</v>
      </c>
      <c r="C696" s="16">
        <f>OBRA!K697</f>
        <v>2023</v>
      </c>
      <c r="D696" s="17" t="str">
        <f>OBRA!N698</f>
        <v>CUENTA CORRIENTE</v>
      </c>
      <c r="E696" s="479" t="s">
        <v>1427</v>
      </c>
      <c r="F696" s="497" t="s">
        <v>6168</v>
      </c>
      <c r="G696" s="496" t="s">
        <v>6168</v>
      </c>
      <c r="H696" s="163"/>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6555</v>
      </c>
      <c r="O696" s="2003" t="s">
        <v>6848</v>
      </c>
      <c r="P696" s="6">
        <f>OBRA!T698</f>
        <v>45265</v>
      </c>
      <c r="Q696" s="4">
        <f>OBRA!S698</f>
        <v>23200</v>
      </c>
      <c r="R696" s="79" t="str">
        <f>'ADMININSTRACIÓN DIR - OBRA'!R700</f>
        <v>MES</v>
      </c>
      <c r="S696" s="5">
        <f>OBRA!U698</f>
        <v>45266</v>
      </c>
      <c r="T696" s="11">
        <f>OBRA!V698</f>
        <v>45267</v>
      </c>
      <c r="U696" s="208" t="s">
        <v>5624</v>
      </c>
      <c r="V696" s="378" t="s">
        <v>1427</v>
      </c>
      <c r="W696" s="500" t="s">
        <v>6168</v>
      </c>
      <c r="X696" s="589" t="s">
        <v>6168</v>
      </c>
      <c r="Y696" s="1005" t="s">
        <v>1176</v>
      </c>
      <c r="Z696" s="310"/>
      <c r="AA696" s="310"/>
      <c r="AB696" s="5"/>
      <c r="AC696" s="318">
        <f>OBRA!BX698</f>
        <v>0</v>
      </c>
      <c r="AD696" s="353"/>
      <c r="AF696"/>
      <c r="AG696"/>
      <c r="AH696"/>
      <c r="AI696"/>
      <c r="AJ696"/>
      <c r="AK696"/>
      <c r="AL696"/>
      <c r="AM696"/>
    </row>
    <row r="697" spans="1:39" ht="153" customHeight="1">
      <c r="A697" s="22" t="s">
        <v>2209</v>
      </c>
      <c r="B697" s="814">
        <f>'ADMININSTRACIÓN DIR - OBRA'!B972</f>
        <v>0</v>
      </c>
      <c r="C697" s="16">
        <f>OBRA!K699</f>
        <v>2023</v>
      </c>
      <c r="D697" s="17" t="str">
        <f>OBRA!N699</f>
        <v>CUENTA CORRIENTE</v>
      </c>
      <c r="E697" s="479" t="s">
        <v>1427</v>
      </c>
      <c r="F697" s="163"/>
      <c r="G697" s="496" t="s">
        <v>6550</v>
      </c>
      <c r="H697" s="163"/>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6555</v>
      </c>
      <c r="O697" s="2003" t="s">
        <v>6854</v>
      </c>
      <c r="P697" s="6">
        <f>OBRA!T699</f>
        <v>45267</v>
      </c>
      <c r="Q697" s="4">
        <f>OBRA!S699</f>
        <v>45601.919999999998</v>
      </c>
      <c r="R697" s="79" t="str">
        <f>'ADMININSTRACIÓN DIR - OBRA'!R701</f>
        <v>DÍA</v>
      </c>
      <c r="S697" s="5">
        <f>OBRA!U699</f>
        <v>45271</v>
      </c>
      <c r="T697" s="11">
        <f>OBRA!V699</f>
        <v>45299</v>
      </c>
      <c r="U697" s="208" t="s">
        <v>5624</v>
      </c>
      <c r="V697" s="378" t="s">
        <v>1427</v>
      </c>
      <c r="W697" s="500" t="s">
        <v>6550</v>
      </c>
      <c r="X697" s="589" t="s">
        <v>6550</v>
      </c>
      <c r="Y697" s="1005" t="s">
        <v>1176</v>
      </c>
      <c r="Z697" s="310"/>
      <c r="AA697" s="310"/>
      <c r="AB697" s="5"/>
      <c r="AC697" s="318">
        <f>OBRA!BX699</f>
        <v>0</v>
      </c>
      <c r="AD697" s="353"/>
      <c r="AF697"/>
      <c r="AG697"/>
      <c r="AH697"/>
      <c r="AI697"/>
      <c r="AJ697"/>
      <c r="AK697"/>
      <c r="AL697"/>
      <c r="AM697"/>
    </row>
    <row r="698" spans="1:39" ht="92.25" customHeight="1">
      <c r="A698" s="22" t="s">
        <v>2209</v>
      </c>
      <c r="B698" s="814">
        <f>'ADMININSTRACIÓN DIR - OBRA'!B973</f>
        <v>0</v>
      </c>
      <c r="C698" s="16">
        <f>OBRA!K700</f>
        <v>2023</v>
      </c>
      <c r="D698" s="17" t="str">
        <f>OBRA!N700</f>
        <v>CUENTA CORRIENTE</v>
      </c>
      <c r="E698" s="479" t="s">
        <v>1427</v>
      </c>
      <c r="F698" s="497" t="s">
        <v>5526</v>
      </c>
      <c r="G698" s="496" t="s">
        <v>5526</v>
      </c>
      <c r="H698" s="163"/>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6555</v>
      </c>
      <c r="O698" s="2003" t="s">
        <v>6855</v>
      </c>
      <c r="P698" s="6">
        <f>OBRA!T700</f>
        <v>45275</v>
      </c>
      <c r="Q698" s="4">
        <f>OBRA!S700</f>
        <v>44196</v>
      </c>
      <c r="R698" s="79" t="str">
        <f>'ADMININSTRACIÓN DIR - OBRA'!R702</f>
        <v>DÍA</v>
      </c>
      <c r="S698" s="5">
        <f>OBRA!U700</f>
        <v>45280</v>
      </c>
      <c r="T698" s="11">
        <f>OBRA!V700</f>
        <v>45282</v>
      </c>
      <c r="U698" s="208" t="s">
        <v>5624</v>
      </c>
      <c r="V698" s="378" t="s">
        <v>1427</v>
      </c>
      <c r="W698" s="500" t="s">
        <v>5526</v>
      </c>
      <c r="X698" s="589" t="s">
        <v>5526</v>
      </c>
      <c r="Y698" s="1005" t="s">
        <v>1176</v>
      </c>
      <c r="Z698" s="310"/>
      <c r="AA698" s="310"/>
      <c r="AB698" s="5"/>
      <c r="AC698" s="318">
        <f>OBRA!BX700</f>
        <v>0</v>
      </c>
      <c r="AD698" s="353"/>
      <c r="AF698"/>
      <c r="AG698"/>
      <c r="AH698"/>
      <c r="AI698"/>
      <c r="AJ698"/>
      <c r="AK698"/>
      <c r="AL698"/>
      <c r="AM698"/>
    </row>
    <row r="699" spans="1:39" ht="105" customHeight="1">
      <c r="A699" s="22" t="s">
        <v>2209</v>
      </c>
      <c r="B699" s="814">
        <f>'ADMININSTRACIÓN DIR - OBRA'!B972</f>
        <v>0</v>
      </c>
      <c r="C699" s="16">
        <f>OBRA!K701</f>
        <v>2023</v>
      </c>
      <c r="D699" s="17" t="str">
        <f>OBRA!N701</f>
        <v>CUENTA CORRIENTE</v>
      </c>
      <c r="E699" s="479" t="s">
        <v>1427</v>
      </c>
      <c r="F699" s="163"/>
      <c r="G699" s="511"/>
      <c r="H699" s="163"/>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4887</v>
      </c>
      <c r="O699" s="2003" t="s">
        <v>6856</v>
      </c>
      <c r="P699" s="6">
        <f>OBRA!T701</f>
        <v>44928</v>
      </c>
      <c r="Q699" s="4">
        <f>OBRA!S701</f>
        <v>56839.999999999993</v>
      </c>
      <c r="R699" s="79" t="str">
        <f>'ADMININSTRACIÓN DIR - OBRA'!R703</f>
        <v>DÍA</v>
      </c>
      <c r="S699" s="5">
        <f>OBRA!U701</f>
        <v>44928</v>
      </c>
      <c r="T699" s="11">
        <f>OBRA!V701</f>
        <v>44957</v>
      </c>
      <c r="U699" s="208" t="s">
        <v>5624</v>
      </c>
      <c r="V699" s="378" t="s">
        <v>1427</v>
      </c>
      <c r="W699" s="538"/>
      <c r="X699" s="438"/>
      <c r="Y699" s="1005" t="s">
        <v>1176</v>
      </c>
      <c r="Z699" s="310"/>
      <c r="AA699" s="310"/>
      <c r="AB699" s="5"/>
      <c r="AC699" s="318">
        <f>OBRA!BX701</f>
        <v>0</v>
      </c>
      <c r="AD699" s="353"/>
      <c r="AF699"/>
      <c r="AG699"/>
      <c r="AH699"/>
      <c r="AI699"/>
      <c r="AJ699"/>
      <c r="AK699"/>
      <c r="AL699"/>
      <c r="AM699"/>
    </row>
    <row r="700" spans="1:39" ht="113.25" customHeight="1">
      <c r="A700" s="22" t="s">
        <v>2209</v>
      </c>
      <c r="B700" s="814">
        <f>'ADMININSTRACIÓN DIR - OBRA'!B973</f>
        <v>0</v>
      </c>
      <c r="C700" s="16">
        <f>OBRA!K702</f>
        <v>2023</v>
      </c>
      <c r="D700" s="17" t="str">
        <f>OBRA!N702</f>
        <v>CUENTA CORRIENTE</v>
      </c>
      <c r="E700" s="479" t="s">
        <v>1427</v>
      </c>
      <c r="F700" s="163"/>
      <c r="G700" s="511"/>
      <c r="H700" s="163"/>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4887</v>
      </c>
      <c r="O700" s="2003" t="s">
        <v>6856</v>
      </c>
      <c r="P700" s="6">
        <f>OBRA!T702</f>
        <v>44929</v>
      </c>
      <c r="Q700" s="4">
        <f>OBRA!S702</f>
        <v>3248</v>
      </c>
      <c r="R700" s="79" t="str">
        <f>'ADMININSTRACIÓN DIR - OBRA'!R704</f>
        <v>DÍA</v>
      </c>
      <c r="S700" s="5">
        <f>OBRA!U702</f>
        <v>44929</v>
      </c>
      <c r="T700" s="11">
        <f>OBRA!V702</f>
        <v>44985</v>
      </c>
      <c r="U700" s="208" t="s">
        <v>5624</v>
      </c>
      <c r="V700" s="378" t="s">
        <v>1427</v>
      </c>
      <c r="W700" s="538"/>
      <c r="X700" s="438"/>
      <c r="Y700" s="1005" t="s">
        <v>1176</v>
      </c>
      <c r="Z700" s="310"/>
      <c r="AA700" s="310"/>
      <c r="AB700" s="5"/>
      <c r="AC700" s="318">
        <f>OBRA!BX702</f>
        <v>0</v>
      </c>
      <c r="AD700" s="353"/>
      <c r="AF700"/>
      <c r="AG700"/>
      <c r="AH700"/>
      <c r="AI700"/>
      <c r="AJ700"/>
      <c r="AK700"/>
      <c r="AL700"/>
      <c r="AM700"/>
    </row>
    <row r="701" spans="1:39" ht="107.25" customHeight="1">
      <c r="A701" s="22" t="s">
        <v>2209</v>
      </c>
      <c r="B701" s="814">
        <f>'ADMININSTRACIÓN DIR - OBRA'!B974</f>
        <v>0</v>
      </c>
      <c r="C701" s="16">
        <f>OBRA!K703</f>
        <v>2023</v>
      </c>
      <c r="D701" s="17" t="str">
        <f>OBRA!N703</f>
        <v>CUENTA CORRIENTE</v>
      </c>
      <c r="E701" s="479" t="s">
        <v>1427</v>
      </c>
      <c r="F701" s="163"/>
      <c r="G701" s="511"/>
      <c r="H701" s="163"/>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4887</v>
      </c>
      <c r="O701" s="2003" t="s">
        <v>6856</v>
      </c>
      <c r="P701" s="6">
        <f>OBRA!T703</f>
        <v>45005</v>
      </c>
      <c r="Q701" s="4">
        <f>OBRA!S703</f>
        <v>28999.999999999996</v>
      </c>
      <c r="R701" s="79" t="str">
        <f>'ADMININSTRACIÓN DIR - OBRA'!R705</f>
        <v>HORA</v>
      </c>
      <c r="S701" s="5">
        <f>OBRA!U703</f>
        <v>45007</v>
      </c>
      <c r="T701" s="11">
        <f>OBRA!V703</f>
        <v>45038</v>
      </c>
      <c r="U701" s="208" t="s">
        <v>5624</v>
      </c>
      <c r="V701" s="378" t="s">
        <v>1427</v>
      </c>
      <c r="W701" s="538"/>
      <c r="X701" s="438"/>
      <c r="Y701" s="1005" t="s">
        <v>1176</v>
      </c>
      <c r="Z701" s="310"/>
      <c r="AA701" s="310"/>
      <c r="AB701" s="5"/>
      <c r="AC701" s="318">
        <f>OBRA!BX703</f>
        <v>0</v>
      </c>
      <c r="AD701" s="353"/>
      <c r="AF701"/>
      <c r="AG701"/>
      <c r="AH701"/>
      <c r="AI701"/>
      <c r="AJ701"/>
      <c r="AK701"/>
      <c r="AL701"/>
      <c r="AM701"/>
    </row>
    <row r="702" spans="1:39" ht="113.25" customHeight="1">
      <c r="A702" s="22" t="s">
        <v>2209</v>
      </c>
      <c r="B702" s="814">
        <f>'ADMININSTRACIÓN DIR - OBRA'!B975</f>
        <v>0</v>
      </c>
      <c r="C702" s="16">
        <f>OBRA!K704</f>
        <v>2023</v>
      </c>
      <c r="D702" s="17" t="str">
        <f>OBRA!N704</f>
        <v>CUENTA CORRIENTE</v>
      </c>
      <c r="E702" s="479" t="s">
        <v>1427</v>
      </c>
      <c r="F702" s="163"/>
      <c r="G702" s="511"/>
      <c r="H702" s="163"/>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4887</v>
      </c>
      <c r="O702" s="2003" t="s">
        <v>6856</v>
      </c>
      <c r="P702" s="6">
        <f>OBRA!T704</f>
        <v>44956</v>
      </c>
      <c r="Q702" s="4">
        <f>OBRA!S704</f>
        <v>59681.999999999993</v>
      </c>
      <c r="R702" s="79" t="str">
        <f>'ADMININSTRACIÓN DIR - OBRA'!R706</f>
        <v>HORA</v>
      </c>
      <c r="S702" s="5">
        <f>OBRA!U704</f>
        <v>44958</v>
      </c>
      <c r="T702" s="11">
        <f>OBRA!V704</f>
        <v>44985</v>
      </c>
      <c r="U702" s="208" t="s">
        <v>5624</v>
      </c>
      <c r="V702" s="378" t="s">
        <v>1427</v>
      </c>
      <c r="W702" s="538"/>
      <c r="X702" s="438"/>
      <c r="Y702" s="1005" t="s">
        <v>1176</v>
      </c>
      <c r="Z702" s="310"/>
      <c r="AA702" s="310"/>
      <c r="AB702" s="5"/>
      <c r="AC702" s="318">
        <f>OBRA!BX704</f>
        <v>0</v>
      </c>
      <c r="AD702" s="353"/>
      <c r="AF702"/>
      <c r="AG702"/>
      <c r="AH702"/>
      <c r="AI702"/>
      <c r="AJ702"/>
      <c r="AK702"/>
      <c r="AL702"/>
      <c r="AM702"/>
    </row>
    <row r="703" spans="1:39" ht="108" customHeight="1">
      <c r="A703" s="22" t="s">
        <v>2209</v>
      </c>
      <c r="B703" s="814">
        <f>'ADMININSTRACIÓN DIR - OBRA'!B976</f>
        <v>0</v>
      </c>
      <c r="C703" s="16">
        <f>OBRA!K705</f>
        <v>2023</v>
      </c>
      <c r="D703" s="17" t="str">
        <f>OBRA!N705</f>
        <v>CUENTA CORRIENTE</v>
      </c>
      <c r="E703" s="479" t="s">
        <v>1427</v>
      </c>
      <c r="F703" s="163"/>
      <c r="G703" s="511"/>
      <c r="H703" s="163"/>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4887</v>
      </c>
      <c r="O703" s="2003" t="s">
        <v>6856</v>
      </c>
      <c r="P703" s="6">
        <f>OBRA!T705</f>
        <v>44981</v>
      </c>
      <c r="Q703" s="4">
        <f>OBRA!S705</f>
        <v>638</v>
      </c>
      <c r="R703" s="79" t="str">
        <f>'ADMININSTRACIÓN DIR - OBRA'!R707</f>
        <v>HORA</v>
      </c>
      <c r="S703" s="5">
        <f>OBRA!U705</f>
        <v>44985</v>
      </c>
      <c r="T703" s="11">
        <f>OBRA!V705</f>
        <v>44989</v>
      </c>
      <c r="U703" s="208" t="s">
        <v>5624</v>
      </c>
      <c r="V703" s="378" t="s">
        <v>1427</v>
      </c>
      <c r="W703" s="538"/>
      <c r="X703" s="438"/>
      <c r="Y703" s="1005" t="s">
        <v>1176</v>
      </c>
      <c r="Z703" s="310"/>
      <c r="AA703" s="310"/>
      <c r="AB703" s="5"/>
      <c r="AC703" s="318">
        <f>OBRA!BX705</f>
        <v>0</v>
      </c>
      <c r="AD703" s="353"/>
      <c r="AF703"/>
      <c r="AG703"/>
      <c r="AH703"/>
      <c r="AI703"/>
      <c r="AJ703"/>
      <c r="AK703"/>
      <c r="AL703"/>
      <c r="AM703"/>
    </row>
    <row r="704" spans="1:39" ht="100.5" customHeight="1">
      <c r="A704" s="22" t="s">
        <v>2209</v>
      </c>
      <c r="B704" s="814">
        <f>'ADMININSTRACIÓN DIR - OBRA'!B977</f>
        <v>0</v>
      </c>
      <c r="C704" s="16">
        <f>OBRA!K706</f>
        <v>2023</v>
      </c>
      <c r="D704" s="17" t="str">
        <f>OBRA!N706</f>
        <v>CUENTA CORRIENTE</v>
      </c>
      <c r="E704" s="479" t="s">
        <v>1427</v>
      </c>
      <c r="F704" s="163"/>
      <c r="G704" s="511"/>
      <c r="H704" s="163"/>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4887</v>
      </c>
      <c r="O704" s="2003" t="s">
        <v>6857</v>
      </c>
      <c r="P704" s="6">
        <f>OBRA!T706</f>
        <v>45037</v>
      </c>
      <c r="Q704" s="4">
        <f>OBRA!S706</f>
        <v>28999.999999999996</v>
      </c>
      <c r="R704" s="79" t="str">
        <f>'ADMININSTRACIÓN DIR - OBRA'!R708</f>
        <v>HORA</v>
      </c>
      <c r="S704" s="5">
        <f>OBRA!U706</f>
        <v>45039</v>
      </c>
      <c r="T704" s="11">
        <f>OBRA!V706</f>
        <v>45069</v>
      </c>
      <c r="U704" s="208" t="s">
        <v>5624</v>
      </c>
      <c r="V704" s="378" t="s">
        <v>1427</v>
      </c>
      <c r="W704" s="538"/>
      <c r="X704" s="438"/>
      <c r="Y704" s="1005" t="s">
        <v>1176</v>
      </c>
      <c r="Z704" s="310"/>
      <c r="AA704" s="310"/>
      <c r="AB704" s="5"/>
      <c r="AC704" s="318">
        <f>OBRA!BX706</f>
        <v>0</v>
      </c>
      <c r="AD704" s="353"/>
      <c r="AF704"/>
      <c r="AG704"/>
      <c r="AH704"/>
      <c r="AI704"/>
      <c r="AJ704"/>
      <c r="AK704"/>
      <c r="AL704"/>
      <c r="AM704"/>
    </row>
    <row r="705" spans="1:39" ht="117" customHeight="1">
      <c r="A705" s="22" t="s">
        <v>2209</v>
      </c>
      <c r="B705" s="814">
        <f>'ADMININSTRACIÓN DIR - OBRA'!B978</f>
        <v>0</v>
      </c>
      <c r="C705" s="16">
        <f>OBRA!K707</f>
        <v>2023</v>
      </c>
      <c r="D705" s="17" t="str">
        <f>OBRA!N707</f>
        <v>CUENTA CORRIENTE</v>
      </c>
      <c r="E705" s="479" t="s">
        <v>1427</v>
      </c>
      <c r="F705" s="163"/>
      <c r="G705" s="511"/>
      <c r="H705" s="163"/>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4887</v>
      </c>
      <c r="O705" s="2003" t="s">
        <v>6856</v>
      </c>
      <c r="P705" s="6">
        <f>OBRA!T707</f>
        <v>45015</v>
      </c>
      <c r="Q705" s="4">
        <f>OBRA!S707</f>
        <v>59681.999999999993</v>
      </c>
      <c r="R705" s="79" t="str">
        <f>'ADMININSTRACIÓN DIR - OBRA'!R709</f>
        <v>HORA</v>
      </c>
      <c r="S705" s="5">
        <f>OBRA!U707</f>
        <v>45017</v>
      </c>
      <c r="T705" s="11">
        <f>OBRA!V707</f>
        <v>45046</v>
      </c>
      <c r="U705" s="208" t="s">
        <v>5624</v>
      </c>
      <c r="V705" s="378" t="s">
        <v>1427</v>
      </c>
      <c r="W705" s="538"/>
      <c r="X705" s="438"/>
      <c r="Y705" s="1005" t="s">
        <v>1176</v>
      </c>
      <c r="Z705" s="310"/>
      <c r="AA705" s="310"/>
      <c r="AB705" s="5"/>
      <c r="AC705" s="318">
        <f>OBRA!BX707</f>
        <v>0</v>
      </c>
      <c r="AD705" s="353"/>
      <c r="AF705"/>
      <c r="AG705"/>
      <c r="AH705"/>
      <c r="AI705"/>
      <c r="AJ705"/>
      <c r="AK705"/>
      <c r="AL705"/>
      <c r="AM705"/>
    </row>
    <row r="706" spans="1:39" ht="120.75" customHeight="1">
      <c r="A706" s="22" t="s">
        <v>2209</v>
      </c>
      <c r="B706" s="814">
        <f>'ADMININSTRACIÓN DIR - OBRA'!B979</f>
        <v>0</v>
      </c>
      <c r="C706" s="16">
        <f>OBRA!K708</f>
        <v>2023</v>
      </c>
      <c r="D706" s="17" t="str">
        <f>OBRA!N708</f>
        <v>CUENTA CORRIENTE</v>
      </c>
      <c r="E706" s="479" t="s">
        <v>1427</v>
      </c>
      <c r="F706" s="163"/>
      <c r="G706" s="511"/>
      <c r="H706" s="163"/>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4887</v>
      </c>
      <c r="O706" s="2003" t="s">
        <v>6856</v>
      </c>
      <c r="P706" s="6">
        <f>OBRA!T708</f>
        <v>45033</v>
      </c>
      <c r="Q706" s="4">
        <f>OBRA!S708</f>
        <v>4750.0027999999993</v>
      </c>
      <c r="R706" s="79" t="str">
        <f>'ADMININSTRACIÓN DIR - OBRA'!R710</f>
        <v>HORA</v>
      </c>
      <c r="S706" s="5">
        <f>OBRA!U708</f>
        <v>45033</v>
      </c>
      <c r="T706" s="11">
        <f>OBRA!V708</f>
        <v>45094</v>
      </c>
      <c r="U706" s="208" t="s">
        <v>5624</v>
      </c>
      <c r="V706" s="378" t="s">
        <v>1427</v>
      </c>
      <c r="W706" s="538"/>
      <c r="X706" s="438"/>
      <c r="Y706" s="1005" t="s">
        <v>1176</v>
      </c>
      <c r="Z706" s="310"/>
      <c r="AA706" s="310"/>
      <c r="AB706" s="5"/>
      <c r="AC706" s="318">
        <f>OBRA!BX708</f>
        <v>0</v>
      </c>
      <c r="AD706" s="353"/>
      <c r="AF706"/>
      <c r="AG706"/>
      <c r="AH706"/>
      <c r="AI706"/>
      <c r="AJ706"/>
      <c r="AK706"/>
      <c r="AL706"/>
      <c r="AM706"/>
    </row>
    <row r="707" spans="1:39" ht="81.75" customHeight="1">
      <c r="A707" s="22" t="s">
        <v>2209</v>
      </c>
      <c r="B707" s="814">
        <f>'ADMININSTRACIÓN DIR - OBRA'!B980</f>
        <v>0</v>
      </c>
      <c r="C707" s="16">
        <f>OBRA!K709</f>
        <v>2023</v>
      </c>
      <c r="D707" s="17" t="str">
        <f>OBRA!N709</f>
        <v>CUENTA CORRIENTE</v>
      </c>
      <c r="E707" s="479" t="s">
        <v>1427</v>
      </c>
      <c r="F707" s="163"/>
      <c r="G707" s="511"/>
      <c r="H707" s="163"/>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4887</v>
      </c>
      <c r="O707" s="2003" t="s">
        <v>6856</v>
      </c>
      <c r="P707" s="6">
        <f>OBRA!T709</f>
        <v>45033</v>
      </c>
      <c r="Q707" s="4">
        <f>OBRA!S709</f>
        <v>1899.9987999999998</v>
      </c>
      <c r="R707" s="79" t="str">
        <f>'ADMININSTRACIÓN DIR - OBRA'!R711</f>
        <v>MES</v>
      </c>
      <c r="S707" s="5">
        <f>OBRA!U709</f>
        <v>45033</v>
      </c>
      <c r="T707" s="11">
        <f>OBRA!V709</f>
        <v>45094</v>
      </c>
      <c r="U707" s="208" t="s">
        <v>5624</v>
      </c>
      <c r="V707" s="378" t="s">
        <v>1427</v>
      </c>
      <c r="W707" s="538"/>
      <c r="X707" s="438"/>
      <c r="Y707" s="1005" t="s">
        <v>1176</v>
      </c>
      <c r="Z707" s="310"/>
      <c r="AA707" s="310"/>
      <c r="AB707" s="5"/>
      <c r="AC707" s="318">
        <f>OBRA!BX709</f>
        <v>0</v>
      </c>
      <c r="AD707" s="353"/>
      <c r="AF707"/>
      <c r="AG707"/>
      <c r="AH707"/>
      <c r="AI707"/>
      <c r="AJ707"/>
      <c r="AK707"/>
      <c r="AL707"/>
      <c r="AM707"/>
    </row>
    <row r="708" spans="1:39" ht="145.5" customHeight="1">
      <c r="A708" s="22" t="s">
        <v>2209</v>
      </c>
      <c r="B708" s="814">
        <f>'ADMININSTRACIÓN DIR - OBRA'!B981</f>
        <v>0</v>
      </c>
      <c r="C708" s="16">
        <f>OBRA!K710</f>
        <v>2023</v>
      </c>
      <c r="D708" s="17" t="str">
        <f>OBRA!N710</f>
        <v>CUENTA CORRIENTE</v>
      </c>
      <c r="E708" s="479" t="s">
        <v>1427</v>
      </c>
      <c r="F708" s="163"/>
      <c r="G708" s="511"/>
      <c r="H708" s="163"/>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4887</v>
      </c>
      <c r="O708" s="2003" t="s">
        <v>6856</v>
      </c>
      <c r="P708" s="6">
        <f>OBRA!T710</f>
        <v>45034</v>
      </c>
      <c r="Q708" s="4">
        <f>OBRA!S710</f>
        <v>5220</v>
      </c>
      <c r="R708" s="79" t="str">
        <f>'ADMININSTRACIÓN DIR - OBRA'!R712</f>
        <v>DÍA</v>
      </c>
      <c r="S708" s="5">
        <f>OBRA!U710</f>
        <v>45036</v>
      </c>
      <c r="T708" s="11">
        <f>OBRA!V710</f>
        <v>45066</v>
      </c>
      <c r="U708" s="208" t="s">
        <v>5624</v>
      </c>
      <c r="V708" s="378" t="s">
        <v>1427</v>
      </c>
      <c r="W708" s="538"/>
      <c r="X708" s="438"/>
      <c r="Y708" s="1005" t="s">
        <v>1176</v>
      </c>
      <c r="Z708" s="310"/>
      <c r="AA708" s="310"/>
      <c r="AB708" s="5"/>
      <c r="AC708" s="318">
        <f>OBRA!BX710</f>
        <v>0</v>
      </c>
      <c r="AD708" s="353"/>
      <c r="AF708"/>
      <c r="AG708"/>
      <c r="AH708"/>
      <c r="AI708"/>
      <c r="AJ708"/>
      <c r="AK708"/>
      <c r="AL708"/>
      <c r="AM708"/>
    </row>
    <row r="709" spans="1:39" ht="99.75" customHeight="1">
      <c r="A709" s="22" t="s">
        <v>2209</v>
      </c>
      <c r="B709" s="814">
        <f>'ADMININSTRACIÓN DIR - OBRA'!B982</f>
        <v>0</v>
      </c>
      <c r="C709" s="16">
        <f>OBRA!K711</f>
        <v>2023</v>
      </c>
      <c r="D709" s="17" t="str">
        <f>OBRA!N711</f>
        <v>CUENTA CORRIENTE</v>
      </c>
      <c r="E709" s="479" t="s">
        <v>1427</v>
      </c>
      <c r="F709" s="163"/>
      <c r="G709" s="511"/>
      <c r="H709" s="163"/>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4887</v>
      </c>
      <c r="O709" s="2003" t="s">
        <v>6856</v>
      </c>
      <c r="P709" s="6">
        <f>OBRA!T711</f>
        <v>45034</v>
      </c>
      <c r="Q709" s="4">
        <f>OBRA!S711</f>
        <v>5220</v>
      </c>
      <c r="R709" s="79" t="str">
        <f>'ADMININSTRACIÓN DIR - OBRA'!R713</f>
        <v>HORA</v>
      </c>
      <c r="S709" s="5">
        <f>OBRA!U711</f>
        <v>45036</v>
      </c>
      <c r="T709" s="11">
        <f>OBRA!V711</f>
        <v>45066</v>
      </c>
      <c r="U709" s="208" t="s">
        <v>5624</v>
      </c>
      <c r="V709" s="378" t="s">
        <v>1427</v>
      </c>
      <c r="W709" s="538"/>
      <c r="X709" s="438"/>
      <c r="Y709" s="1005" t="s">
        <v>1176</v>
      </c>
      <c r="Z709" s="310"/>
      <c r="AA709" s="310"/>
      <c r="AB709" s="5"/>
      <c r="AC709" s="318">
        <f>OBRA!BX711</f>
        <v>0</v>
      </c>
      <c r="AD709" s="353"/>
      <c r="AF709"/>
      <c r="AG709"/>
      <c r="AH709"/>
      <c r="AI709"/>
      <c r="AJ709"/>
      <c r="AK709"/>
      <c r="AL709"/>
      <c r="AM709"/>
    </row>
    <row r="710" spans="1:39" ht="112.5" customHeight="1">
      <c r="A710" s="22" t="s">
        <v>2209</v>
      </c>
      <c r="B710" s="814">
        <f>'ADMININSTRACIÓN DIR - OBRA'!B983</f>
        <v>0</v>
      </c>
      <c r="C710" s="16">
        <f>OBRA!K712</f>
        <v>2023</v>
      </c>
      <c r="D710" s="17" t="str">
        <f>OBRA!N712</f>
        <v>CUENTA CORRIENTE</v>
      </c>
      <c r="E710" s="479" t="s">
        <v>1427</v>
      </c>
      <c r="F710" s="497" t="s">
        <v>6056</v>
      </c>
      <c r="G710" s="496" t="s">
        <v>6056</v>
      </c>
      <c r="H710" s="163"/>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4887</v>
      </c>
      <c r="O710" s="2003" t="s">
        <v>6858</v>
      </c>
      <c r="P710" s="6">
        <f>OBRA!T712</f>
        <v>44972</v>
      </c>
      <c r="Q710" s="4">
        <f>OBRA!S712</f>
        <v>696</v>
      </c>
      <c r="R710" s="79" t="str">
        <f>'ADMININSTRACIÓN DIR - OBRA'!R714</f>
        <v>MES</v>
      </c>
      <c r="S710" s="5">
        <f>OBRA!U712</f>
        <v>44974</v>
      </c>
      <c r="T710" s="11">
        <f>OBRA!V712</f>
        <v>44976</v>
      </c>
      <c r="U710" s="208" t="s">
        <v>5624</v>
      </c>
      <c r="V710" s="378" t="s">
        <v>1427</v>
      </c>
      <c r="W710" s="500" t="s">
        <v>6056</v>
      </c>
      <c r="X710" s="206" t="s">
        <v>1427</v>
      </c>
      <c r="Y710" s="1005" t="s">
        <v>1176</v>
      </c>
      <c r="Z710" s="310"/>
      <c r="AA710" s="310"/>
      <c r="AB710" s="5"/>
      <c r="AC710" s="318">
        <f>OBRA!BX712</f>
        <v>0</v>
      </c>
      <c r="AD710" s="353"/>
      <c r="AF710"/>
      <c r="AG710"/>
      <c r="AH710"/>
      <c r="AI710"/>
      <c r="AJ710"/>
      <c r="AK710"/>
      <c r="AL710"/>
      <c r="AM710"/>
    </row>
    <row r="711" spans="1:39" ht="102" customHeight="1">
      <c r="A711" s="22" t="s">
        <v>2209</v>
      </c>
      <c r="B711" s="814">
        <f>'ADMININSTRACIÓN DIR - OBRA'!B984</f>
        <v>0</v>
      </c>
      <c r="C711" s="16">
        <f>OBRA!K713</f>
        <v>2023</v>
      </c>
      <c r="D711" s="17" t="str">
        <f>OBRA!N713</f>
        <v>CUENTA CORRIENTE</v>
      </c>
      <c r="E711" s="479" t="s">
        <v>1427</v>
      </c>
      <c r="F711" s="497" t="s">
        <v>6056</v>
      </c>
      <c r="G711" s="496" t="s">
        <v>6056</v>
      </c>
      <c r="H711" s="163"/>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4887</v>
      </c>
      <c r="O711" s="2003" t="s">
        <v>6858</v>
      </c>
      <c r="P711" s="6">
        <f>OBRA!T713</f>
        <v>44966</v>
      </c>
      <c r="Q711" s="4">
        <f>OBRA!S713</f>
        <v>754</v>
      </c>
      <c r="R711" s="79" t="str">
        <f>'ADMININSTRACIÓN DIR - OBRA'!R715</f>
        <v>HORA</v>
      </c>
      <c r="S711" s="5">
        <f>OBRA!U713</f>
        <v>44970</v>
      </c>
      <c r="T711" s="11">
        <f>OBRA!V713</f>
        <v>44976</v>
      </c>
      <c r="U711" s="208" t="s">
        <v>5624</v>
      </c>
      <c r="V711" s="378" t="s">
        <v>1427</v>
      </c>
      <c r="W711" s="500" t="s">
        <v>6056</v>
      </c>
      <c r="X711" s="206" t="s">
        <v>1427</v>
      </c>
      <c r="Y711" s="1005" t="s">
        <v>1176</v>
      </c>
      <c r="Z711" s="310"/>
      <c r="AA711" s="310"/>
      <c r="AB711" s="5"/>
      <c r="AC711" s="318">
        <f>OBRA!BX713</f>
        <v>0</v>
      </c>
      <c r="AD711" s="353"/>
      <c r="AF711"/>
      <c r="AG711"/>
      <c r="AH711"/>
      <c r="AI711"/>
      <c r="AJ711"/>
      <c r="AK711"/>
      <c r="AL711"/>
      <c r="AM711"/>
    </row>
    <row r="712" spans="1:39" ht="120" customHeight="1">
      <c r="A712" s="22" t="s">
        <v>2209</v>
      </c>
      <c r="B712" s="814">
        <f>'ADMININSTRACIÓN DIR - OBRA'!B985</f>
        <v>0</v>
      </c>
      <c r="C712" s="16">
        <f>OBRA!K714</f>
        <v>2023</v>
      </c>
      <c r="D712" s="17" t="str">
        <f>OBRA!N714</f>
        <v>CUENTA CORRIENTE</v>
      </c>
      <c r="E712" s="479" t="s">
        <v>1427</v>
      </c>
      <c r="F712" s="497" t="s">
        <v>6056</v>
      </c>
      <c r="G712" s="496" t="s">
        <v>6056</v>
      </c>
      <c r="H712" s="163"/>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6556</v>
      </c>
      <c r="O712" s="2003" t="s">
        <v>6858</v>
      </c>
      <c r="P712" s="6">
        <f>OBRA!T714</f>
        <v>44966</v>
      </c>
      <c r="Q712" s="4">
        <f>OBRA!S714</f>
        <v>1020.8</v>
      </c>
      <c r="R712" s="79" t="str">
        <f>'ADMININSTRACIÓN DIR - OBRA'!R716</f>
        <v>HORA</v>
      </c>
      <c r="S712" s="5">
        <f>OBRA!U714</f>
        <v>44970</v>
      </c>
      <c r="T712" s="11">
        <f>OBRA!V714</f>
        <v>44977</v>
      </c>
      <c r="U712" s="208" t="s">
        <v>5624</v>
      </c>
      <c r="V712" s="378" t="s">
        <v>1427</v>
      </c>
      <c r="W712" s="500" t="s">
        <v>6056</v>
      </c>
      <c r="X712" s="206" t="s">
        <v>1427</v>
      </c>
      <c r="Y712" s="1005" t="s">
        <v>1176</v>
      </c>
      <c r="Z712" s="310"/>
      <c r="AA712" s="310"/>
      <c r="AB712" s="5"/>
      <c r="AC712" s="318">
        <f>OBRA!BX714</f>
        <v>0</v>
      </c>
      <c r="AD712" s="353"/>
      <c r="AF712"/>
      <c r="AG712"/>
      <c r="AH712"/>
      <c r="AI712"/>
      <c r="AJ712"/>
      <c r="AK712"/>
      <c r="AL712"/>
      <c r="AM712"/>
    </row>
    <row r="713" spans="1:39" ht="76.5" customHeight="1">
      <c r="A713" s="22" t="s">
        <v>2209</v>
      </c>
      <c r="B713" s="814">
        <f>'ADMININSTRACIÓN DIR - OBRA'!B976</f>
        <v>0</v>
      </c>
      <c r="C713" s="16">
        <f>OBRA!K718</f>
        <v>2023</v>
      </c>
      <c r="D713" s="17" t="str">
        <f>OBRA!N718</f>
        <v>CUENTA CORRIENTE</v>
      </c>
      <c r="E713" s="479" t="s">
        <v>1427</v>
      </c>
      <c r="F713" s="163"/>
      <c r="G713" s="511"/>
      <c r="H713" s="163"/>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6556</v>
      </c>
      <c r="O713" s="2003" t="s">
        <v>6856</v>
      </c>
      <c r="P713" s="6">
        <f>OBRA!T718</f>
        <v>45044</v>
      </c>
      <c r="Q713" s="4">
        <f>OBRA!S718</f>
        <v>59681.999999999993</v>
      </c>
      <c r="R713" s="79" t="s">
        <v>67</v>
      </c>
      <c r="S713" s="5">
        <f>OBRA!U718</f>
        <v>45047</v>
      </c>
      <c r="T713" s="11">
        <f>OBRA!V718</f>
        <v>45077</v>
      </c>
      <c r="U713" s="208" t="s">
        <v>5624</v>
      </c>
      <c r="V713" s="378" t="s">
        <v>1427</v>
      </c>
      <c r="W713" s="538"/>
      <c r="X713" s="438"/>
      <c r="Y713" s="1005" t="s">
        <v>1176</v>
      </c>
      <c r="Z713" s="310"/>
      <c r="AA713" s="310"/>
      <c r="AB713" s="5"/>
      <c r="AC713" s="318">
        <f>OBRA!BX718</f>
        <v>0</v>
      </c>
      <c r="AD713" s="353"/>
      <c r="AF713"/>
      <c r="AG713"/>
      <c r="AH713"/>
      <c r="AI713"/>
      <c r="AJ713"/>
      <c r="AK713"/>
      <c r="AL713"/>
      <c r="AM713"/>
    </row>
    <row r="714" spans="1:39" ht="139.5" customHeight="1">
      <c r="A714" s="22" t="s">
        <v>2209</v>
      </c>
      <c r="B714" s="814">
        <f>'ADMININSTRACIÓN DIR - OBRA'!B977</f>
        <v>0</v>
      </c>
      <c r="C714" s="16">
        <f>OBRA!K719</f>
        <v>2023</v>
      </c>
      <c r="D714" s="17" t="str">
        <f>OBRA!N719</f>
        <v>CUENTA CORRIENTE</v>
      </c>
      <c r="E714" s="479" t="s">
        <v>1427</v>
      </c>
      <c r="F714" s="163"/>
      <c r="G714" s="511"/>
      <c r="H714" s="163"/>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6556</v>
      </c>
      <c r="O714" s="2003" t="s">
        <v>6856</v>
      </c>
      <c r="P714" s="6">
        <f>OBRA!T719</f>
        <v>45113</v>
      </c>
      <c r="Q714" s="4">
        <f>OBRA!S719</f>
        <v>2900</v>
      </c>
      <c r="R714" s="79" t="s">
        <v>67</v>
      </c>
      <c r="S714" s="5">
        <f>OBRA!U719</f>
        <v>45117</v>
      </c>
      <c r="T714" s="11">
        <f>OBRA!V719</f>
        <v>45127</v>
      </c>
      <c r="U714" s="208" t="s">
        <v>5624</v>
      </c>
      <c r="V714" s="378" t="s">
        <v>1427</v>
      </c>
      <c r="W714" s="538"/>
      <c r="X714" s="438"/>
      <c r="Y714" s="1005" t="s">
        <v>1176</v>
      </c>
      <c r="Z714" s="310"/>
      <c r="AA714" s="310"/>
      <c r="AB714" s="5"/>
      <c r="AC714" s="318">
        <f>OBRA!BX719</f>
        <v>0</v>
      </c>
      <c r="AD714" s="353"/>
      <c r="AF714"/>
      <c r="AG714"/>
      <c r="AH714"/>
      <c r="AI714"/>
      <c r="AJ714"/>
      <c r="AK714"/>
      <c r="AL714"/>
      <c r="AM714"/>
    </row>
    <row r="715" spans="1:39" ht="91.5" customHeight="1">
      <c r="A715" s="22" t="s">
        <v>2209</v>
      </c>
      <c r="B715" s="814">
        <f>'ADMININSTRACIÓN DIR - OBRA'!B978</f>
        <v>0</v>
      </c>
      <c r="C715" s="16">
        <f>OBRA!K720</f>
        <v>2023</v>
      </c>
      <c r="D715" s="17" t="str">
        <f>OBRA!N720</f>
        <v>CUENTA CORRIENTE</v>
      </c>
      <c r="E715" s="479" t="s">
        <v>1427</v>
      </c>
      <c r="F715" s="163"/>
      <c r="G715" s="511"/>
      <c r="H715" s="163"/>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6556</v>
      </c>
      <c r="O715" s="2003" t="s">
        <v>6856</v>
      </c>
      <c r="P715" s="6">
        <f>OBRA!T720</f>
        <v>45133</v>
      </c>
      <c r="Q715" s="4">
        <f>OBRA!S720</f>
        <v>696</v>
      </c>
      <c r="R715" s="79" t="s">
        <v>67</v>
      </c>
      <c r="S715" s="5">
        <f>OBRA!U720</f>
        <v>45139</v>
      </c>
      <c r="T715" s="11">
        <f>OBRA!V720</f>
        <v>45148</v>
      </c>
      <c r="U715" s="208" t="s">
        <v>5624</v>
      </c>
      <c r="V715" s="378" t="s">
        <v>1427</v>
      </c>
      <c r="W715" s="538"/>
      <c r="X715" s="438"/>
      <c r="Y715" s="1005" t="s">
        <v>1176</v>
      </c>
      <c r="Z715" s="310"/>
      <c r="AA715" s="310"/>
      <c r="AB715" s="5"/>
      <c r="AC715" s="318">
        <f>OBRA!BX720</f>
        <v>0</v>
      </c>
      <c r="AD715" s="353"/>
      <c r="AF715"/>
      <c r="AG715"/>
      <c r="AH715"/>
      <c r="AI715"/>
      <c r="AJ715"/>
      <c r="AK715"/>
      <c r="AL715"/>
      <c r="AM715"/>
    </row>
    <row r="716" spans="1:39" ht="80.25" customHeight="1">
      <c r="A716" s="22" t="s">
        <v>2209</v>
      </c>
      <c r="B716" s="814">
        <f>'ADMININSTRACIÓN DIR - OBRA'!B979</f>
        <v>0</v>
      </c>
      <c r="C716" s="16">
        <f>OBRA!K721</f>
        <v>2023</v>
      </c>
      <c r="D716" s="17" t="str">
        <f>OBRA!N721</f>
        <v>CUENTA CORRIENTE</v>
      </c>
      <c r="E716" s="479" t="s">
        <v>1427</v>
      </c>
      <c r="F716" s="163"/>
      <c r="G716" s="511"/>
      <c r="H716" s="163"/>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6556</v>
      </c>
      <c r="O716" s="2003" t="s">
        <v>6856</v>
      </c>
      <c r="P716" s="6">
        <f>OBRA!T721</f>
        <v>45077</v>
      </c>
      <c r="Q716" s="4">
        <f>OBRA!S721</f>
        <v>56839.999999999993</v>
      </c>
      <c r="R716" s="79" t="s">
        <v>67</v>
      </c>
      <c r="S716" s="5">
        <f>OBRA!U721</f>
        <v>45078</v>
      </c>
      <c r="T716" s="11">
        <f>OBRA!V721</f>
        <v>45138</v>
      </c>
      <c r="U716" s="208" t="s">
        <v>5624</v>
      </c>
      <c r="V716" s="378" t="s">
        <v>1427</v>
      </c>
      <c r="W716" s="538"/>
      <c r="X716" s="438"/>
      <c r="Y716" s="1005" t="s">
        <v>1176</v>
      </c>
      <c r="Z716" s="310"/>
      <c r="AA716" s="310"/>
      <c r="AB716" s="5"/>
      <c r="AC716" s="318">
        <f>OBRA!BX721</f>
        <v>0</v>
      </c>
      <c r="AD716" s="353"/>
      <c r="AF716"/>
      <c r="AG716"/>
      <c r="AH716"/>
      <c r="AI716"/>
      <c r="AJ716"/>
      <c r="AK716"/>
      <c r="AL716"/>
      <c r="AM716"/>
    </row>
    <row r="717" spans="1:39" ht="90.75" customHeight="1">
      <c r="A717" s="22" t="s">
        <v>2209</v>
      </c>
      <c r="B717" s="814">
        <f>'ADMININSTRACIÓN DIR - OBRA'!B980</f>
        <v>0</v>
      </c>
      <c r="C717" s="16">
        <f>OBRA!K722</f>
        <v>2023</v>
      </c>
      <c r="D717" s="17" t="str">
        <f>OBRA!N722</f>
        <v>CUENTA CORRIENTE</v>
      </c>
      <c r="E717" s="479" t="s">
        <v>1427</v>
      </c>
      <c r="F717" s="163"/>
      <c r="G717" s="511"/>
      <c r="H717" s="163"/>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6556</v>
      </c>
      <c r="O717" s="2003" t="s">
        <v>6856</v>
      </c>
      <c r="P717" s="6">
        <f>OBRA!T722</f>
        <v>45210</v>
      </c>
      <c r="Q717" s="4">
        <f>OBRA!S722</f>
        <v>779.52</v>
      </c>
      <c r="R717" s="79" t="s">
        <v>67</v>
      </c>
      <c r="S717" s="5">
        <f>OBRA!U722</f>
        <v>45215</v>
      </c>
      <c r="T717" s="11">
        <f>OBRA!V722</f>
        <v>45217</v>
      </c>
      <c r="U717" s="208" t="s">
        <v>5624</v>
      </c>
      <c r="V717" s="378" t="s">
        <v>1427</v>
      </c>
      <c r="W717" s="538"/>
      <c r="X717" s="438"/>
      <c r="Y717" s="1005" t="s">
        <v>1176</v>
      </c>
      <c r="Z717" s="310"/>
      <c r="AA717" s="310"/>
      <c r="AB717" s="5"/>
      <c r="AC717" s="318">
        <f>OBRA!BX722</f>
        <v>0</v>
      </c>
      <c r="AD717" s="353"/>
      <c r="AF717"/>
      <c r="AG717"/>
      <c r="AH717"/>
      <c r="AI717"/>
      <c r="AJ717"/>
      <c r="AK717"/>
      <c r="AL717"/>
      <c r="AM717"/>
    </row>
    <row r="718" spans="1:39" ht="102" customHeight="1">
      <c r="A718" s="22" t="s">
        <v>2209</v>
      </c>
      <c r="B718" s="814">
        <f>'ADMININSTRACIÓN DIR - OBRA'!B981</f>
        <v>0</v>
      </c>
      <c r="C718" s="16">
        <f>OBRA!K723</f>
        <v>2023</v>
      </c>
      <c r="D718" s="17" t="str">
        <f>OBRA!N723</f>
        <v>CUENTA CORRIENTE</v>
      </c>
      <c r="E718" s="479" t="s">
        <v>1427</v>
      </c>
      <c r="F718" s="497" t="s">
        <v>6060</v>
      </c>
      <c r="G718" s="496" t="s">
        <v>6060</v>
      </c>
      <c r="H718" s="163"/>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6556</v>
      </c>
      <c r="O718" s="2003" t="s">
        <v>6852</v>
      </c>
      <c r="P718" s="6">
        <f>OBRA!T723</f>
        <v>45204</v>
      </c>
      <c r="Q718" s="4">
        <f>OBRA!S723</f>
        <v>730.8</v>
      </c>
      <c r="R718" s="79" t="s">
        <v>67</v>
      </c>
      <c r="S718" s="5">
        <f>OBRA!U723</f>
        <v>45208</v>
      </c>
      <c r="T718" s="11">
        <f>OBRA!V723</f>
        <v>45240</v>
      </c>
      <c r="U718" s="208" t="s">
        <v>5624</v>
      </c>
      <c r="V718" s="378" t="s">
        <v>1427</v>
      </c>
      <c r="W718" s="500" t="s">
        <v>6060</v>
      </c>
      <c r="X718" s="206" t="s">
        <v>1427</v>
      </c>
      <c r="Y718" s="1005" t="s">
        <v>1176</v>
      </c>
      <c r="Z718" s="310"/>
      <c r="AA718" s="310"/>
      <c r="AB718" s="5"/>
      <c r="AC718" s="318">
        <f>OBRA!BX723</f>
        <v>0</v>
      </c>
      <c r="AD718" s="353"/>
      <c r="AF718"/>
      <c r="AG718"/>
      <c r="AH718"/>
      <c r="AI718"/>
      <c r="AJ718"/>
      <c r="AK718"/>
      <c r="AL718"/>
      <c r="AM718"/>
    </row>
    <row r="719" spans="1:39" ht="108.75" customHeight="1">
      <c r="A719" s="22" t="s">
        <v>2209</v>
      </c>
      <c r="B719" s="814">
        <f>'ADMININSTRACIÓN DIR - OBRA'!B982</f>
        <v>0</v>
      </c>
      <c r="C719" s="16">
        <f>OBRA!K724</f>
        <v>2023</v>
      </c>
      <c r="D719" s="17" t="str">
        <f>OBRA!N724</f>
        <v>CUENTA CORRIENTE</v>
      </c>
      <c r="E719" s="479" t="s">
        <v>1427</v>
      </c>
      <c r="F719" s="497" t="s">
        <v>6060</v>
      </c>
      <c r="G719" s="496" t="s">
        <v>6060</v>
      </c>
      <c r="H719" s="163"/>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6557</v>
      </c>
      <c r="O719" s="2003" t="s">
        <v>6852</v>
      </c>
      <c r="P719" s="6">
        <f>OBRA!T724</f>
        <v>45204</v>
      </c>
      <c r="Q719" s="4">
        <f>OBRA!S724</f>
        <v>754</v>
      </c>
      <c r="R719" s="79" t="s">
        <v>67</v>
      </c>
      <c r="S719" s="5">
        <f>OBRA!U724</f>
        <v>45208</v>
      </c>
      <c r="T719" s="11">
        <f>OBRA!V724</f>
        <v>45240</v>
      </c>
      <c r="U719" s="208" t="s">
        <v>5624</v>
      </c>
      <c r="V719" s="378" t="s">
        <v>1427</v>
      </c>
      <c r="W719" s="500" t="s">
        <v>6060</v>
      </c>
      <c r="X719" s="206" t="s">
        <v>1427</v>
      </c>
      <c r="Y719" s="1005" t="s">
        <v>1176</v>
      </c>
      <c r="Z719" s="310"/>
      <c r="AA719" s="310"/>
      <c r="AB719" s="5"/>
      <c r="AC719" s="318">
        <f>OBRA!BX724</f>
        <v>0</v>
      </c>
      <c r="AD719" s="353"/>
      <c r="AF719"/>
      <c r="AG719"/>
      <c r="AH719"/>
      <c r="AI719"/>
      <c r="AJ719"/>
      <c r="AK719"/>
      <c r="AL719"/>
      <c r="AM719"/>
    </row>
    <row r="720" spans="1:39" ht="101.25" customHeight="1">
      <c r="A720" s="22" t="s">
        <v>2209</v>
      </c>
      <c r="B720" s="814">
        <f>'ADMININSTRACIÓN DIR - OBRA'!B983</f>
        <v>0</v>
      </c>
      <c r="C720" s="16">
        <f>OBRA!K725</f>
        <v>2023</v>
      </c>
      <c r="D720" s="17" t="str">
        <f>OBRA!N725</f>
        <v>CUENTA CORRIENTE</v>
      </c>
      <c r="E720" s="479" t="s">
        <v>1427</v>
      </c>
      <c r="F720" s="497" t="s">
        <v>6060</v>
      </c>
      <c r="G720" s="496" t="s">
        <v>6060</v>
      </c>
      <c r="H720" s="163"/>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6557</v>
      </c>
      <c r="O720" s="2003" t="s">
        <v>6852</v>
      </c>
      <c r="P720" s="6">
        <f>OBRA!T725</f>
        <v>45204</v>
      </c>
      <c r="Q720" s="4">
        <f>OBRA!S725</f>
        <v>580</v>
      </c>
      <c r="R720" s="79" t="s">
        <v>67</v>
      </c>
      <c r="S720" s="5">
        <f>OBRA!U725</f>
        <v>45208</v>
      </c>
      <c r="T720" s="11">
        <f>OBRA!V725</f>
        <v>45240</v>
      </c>
      <c r="U720" s="208" t="s">
        <v>5624</v>
      </c>
      <c r="V720" s="378" t="s">
        <v>1427</v>
      </c>
      <c r="W720" s="500" t="s">
        <v>6060</v>
      </c>
      <c r="X720" s="206" t="s">
        <v>1427</v>
      </c>
      <c r="Y720" s="1005" t="s">
        <v>1176</v>
      </c>
      <c r="Z720" s="310"/>
      <c r="AA720" s="310"/>
      <c r="AB720" s="5"/>
      <c r="AC720" s="318">
        <f>OBRA!BX725</f>
        <v>0</v>
      </c>
      <c r="AD720" s="353"/>
      <c r="AF720"/>
      <c r="AG720"/>
      <c r="AH720"/>
      <c r="AI720"/>
      <c r="AJ720"/>
      <c r="AK720"/>
      <c r="AL720"/>
      <c r="AM720"/>
    </row>
    <row r="721" spans="1:39" ht="87.75" customHeight="1">
      <c r="A721" s="22" t="s">
        <v>2209</v>
      </c>
      <c r="B721" s="814">
        <f>'ADMININSTRACIÓN DIR - OBRA'!B984</f>
        <v>0</v>
      </c>
      <c r="C721" s="16">
        <f>OBRA!K726</f>
        <v>2023</v>
      </c>
      <c r="D721" s="17" t="str">
        <f>OBRA!N726</f>
        <v>CUENTA CORRIENTE</v>
      </c>
      <c r="E721" s="479" t="s">
        <v>1427</v>
      </c>
      <c r="F721" s="497" t="s">
        <v>6060</v>
      </c>
      <c r="G721" s="496" t="s">
        <v>6060</v>
      </c>
      <c r="H721" s="163"/>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6557</v>
      </c>
      <c r="O721" s="2003" t="s">
        <v>6852</v>
      </c>
      <c r="P721" s="6">
        <f>OBRA!T726</f>
        <v>45204</v>
      </c>
      <c r="Q721" s="4">
        <f>OBRA!S726</f>
        <v>580</v>
      </c>
      <c r="R721" s="79" t="s">
        <v>67</v>
      </c>
      <c r="S721" s="5">
        <f>OBRA!U726</f>
        <v>45208</v>
      </c>
      <c r="T721" s="11">
        <f>OBRA!V726</f>
        <v>45240</v>
      </c>
      <c r="U721" s="208" t="s">
        <v>5624</v>
      </c>
      <c r="V721" s="378" t="s">
        <v>1427</v>
      </c>
      <c r="W721" s="500" t="s">
        <v>6060</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'ADMININSTRACIÓN DIR - OBRA'!B985</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'ADMININSTRACIÓN DIR - OBRA'!B986</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'ADMININSTRACIÓN DIR - OBRA'!B987</f>
        <v>0</v>
      </c>
      <c r="C724" s="16">
        <f>OBRA!K729</f>
        <v>2023</v>
      </c>
      <c r="D724" s="17" t="str">
        <f>OBRA!N729</f>
        <v>REGULARIZACIÓN DE VEHÍCULOS DE PROCEDENCIA EXTRANJERA - RAMO 23/2022</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'ADMININSTRACIÓN DIR - OBRA'!B988</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'ADMININSTRACIÓN DIR - OBRA'!B989</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'ADMININSTRACIÓN DIR - OBRA'!B990</f>
        <v>0</v>
      </c>
      <c r="C727" s="16">
        <f>OBRA!K732</f>
        <v>2023</v>
      </c>
      <c r="D727" s="17" t="str">
        <f>OBRA!N732</f>
        <v>REGULARIZACIÓN DE VEHÍCULOS DE PROCEDENCIA EXTRANJERA - RAMO 23/2023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'ADMININSTRACIÓN DIR - OBRA'!B991</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'ADMININSTRACIÓN DIR - OBRA'!B992</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'ADMININSTRACIÓN DIR - OBRA'!B993</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'ADMININSTRACIÓN DIR - OBRA'!B994</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'ADMININSTRACIÓN DIR - OBRA'!B995</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'ADMININSTRACIÓN DIR - OBRA'!B996</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'ADMININSTRACIÓN DIR - OBRA'!B1007</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'ADMININSTRACIÓN DIR - OBRA'!B1008</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'ADMININSTRACIÓN DIR - OBRA'!B1009</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'ADMININSTRACIÓN DIR - OBRA'!B1010</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'ADMININSTRACIÓN DIR - OBRA'!B1011</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'ADMININSTRACIÓN DIR - OBRA'!B1012</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'ADMININSTRACIÓN DIR - OBRA'!B1013</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'ADMININSTRACIÓN DIR - OBRA'!B1014</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'ADMININSTRACIÓN DIR - OBRA'!B1015</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'ADMININSTRACIÓN DIR - OBRA'!B1016</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'ADMININSTRACIÓN DIR - OBRA'!B1017</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'ADMININSTRACIÓN DIR - OBRA'!B1018</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'ADMININSTRACIÓN DIR - OBRA'!B1019</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'ADMININSTRACIÓN DIR - OBRA'!B1020</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'ADMININSTRACIÓN DIR - OBRA'!B1021</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'ADMININSTRACIÓN DIR - OBRA'!B1022</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'ADMININSTRACIÓN DIR - OBRA'!B1023</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'ADMININSTRACIÓN DIR - OBRA'!B1024</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'ADMININSTRACIÓN DIR - OBRA'!B1025</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'ADMININSTRACIÓN DIR - OBRA'!B1026</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'ADMININSTRACIÓN DIR - OBRA'!B1027</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'ADMININSTRACIÓN DIR - OBRA'!B1028</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'ADMININSTRACIÓN DIR - OBRA'!B1029</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'ADMININSTRACIÓN DIR - OBRA'!B1030</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'ADMININSTRACIÓN DIR - OBRA'!B1031</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'ADMININSTRACIÓN DIR - OBRA'!B1032</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'ADMININSTRACIÓN DIR - OBRA'!B1033</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'ADMININSTRACIÓN DIR - OBRA'!B1034</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'ADMININSTRACIÓN DIR - OBRA'!B1035</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'ADMININSTRACIÓN DIR - OBRA'!B1036</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'ADMININSTRACIÓN DIR - OBRA'!B1037</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'ADMININSTRACIÓN DIR - OBRA'!B1038</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2209</v>
      </c>
      <c r="B766" s="814">
        <f>'ADMININSTRACIÓN DIR - OBRA'!B1039</f>
        <v>0</v>
      </c>
      <c r="C766" s="16">
        <f>OBRA!K771</f>
        <v>2024</v>
      </c>
      <c r="D766" s="17" t="str">
        <f>OBRA!N771</f>
        <v>CUENTA CORRIENTE</v>
      </c>
      <c r="E766" s="479" t="s">
        <v>1427</v>
      </c>
      <c r="F766" s="497" t="s">
        <v>6168</v>
      </c>
      <c r="G766" s="496" t="s">
        <v>6168</v>
      </c>
      <c r="H766" s="163"/>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6772</v>
      </c>
      <c r="O766" s="2003" t="s">
        <v>6848</v>
      </c>
      <c r="P766" s="6">
        <f>OBRA!T771</f>
        <v>45293</v>
      </c>
      <c r="Q766" s="4">
        <f>OBRA!S771</f>
        <v>9222</v>
      </c>
      <c r="R766" s="79" t="s">
        <v>67</v>
      </c>
      <c r="S766" s="5">
        <f>OBRA!U771</f>
        <v>45294</v>
      </c>
      <c r="T766" s="11">
        <f>OBRA!V771</f>
        <v>45295</v>
      </c>
      <c r="U766" s="208" t="s">
        <v>5624</v>
      </c>
      <c r="V766" s="378" t="s">
        <v>1427</v>
      </c>
      <c r="W766" s="500" t="s">
        <v>6168</v>
      </c>
      <c r="X766" s="589" t="s">
        <v>6168</v>
      </c>
      <c r="Y766" s="1005" t="s">
        <v>1176</v>
      </c>
      <c r="Z766" s="310"/>
      <c r="AA766" s="310"/>
      <c r="AB766" s="5"/>
      <c r="AC766" s="318">
        <f>OBRA!BX771</f>
        <v>0</v>
      </c>
      <c r="AD766" s="353"/>
      <c r="AF766"/>
      <c r="AG766"/>
      <c r="AH766"/>
      <c r="AI766"/>
      <c r="AJ766"/>
      <c r="AK766"/>
      <c r="AL766"/>
      <c r="AM766"/>
    </row>
    <row r="767" spans="1:39" ht="91.5" customHeight="1">
      <c r="A767" s="22" t="s">
        <v>2209</v>
      </c>
      <c r="B767" s="814">
        <f>'ADMININSTRACIÓN DIR - OBRA'!B1040</f>
        <v>0</v>
      </c>
      <c r="C767" s="16">
        <f>OBRA!K772</f>
        <v>2024</v>
      </c>
      <c r="D767" s="17" t="str">
        <f>OBRA!N772</f>
        <v>CUENTA CORRIENTE</v>
      </c>
      <c r="E767" s="479" t="s">
        <v>1427</v>
      </c>
      <c r="F767" s="1251"/>
      <c r="G767" s="496" t="s">
        <v>6051</v>
      </c>
      <c r="H767" s="163"/>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6772</v>
      </c>
      <c r="O767" s="2003" t="s">
        <v>6859</v>
      </c>
      <c r="P767" s="6">
        <f>OBRA!T772</f>
        <v>45293</v>
      </c>
      <c r="Q767" s="4">
        <f>OBRA!S772</f>
        <v>23200</v>
      </c>
      <c r="R767" s="79" t="s">
        <v>67</v>
      </c>
      <c r="S767" s="5">
        <f>OBRA!U772</f>
        <v>45293</v>
      </c>
      <c r="T767" s="11">
        <f>OBRA!V772</f>
        <v>45294</v>
      </c>
      <c r="U767" s="208" t="s">
        <v>5624</v>
      </c>
      <c r="V767" s="378" t="s">
        <v>1427</v>
      </c>
      <c r="W767" s="500" t="s">
        <v>6051</v>
      </c>
      <c r="X767" s="589" t="s">
        <v>6051</v>
      </c>
      <c r="Y767" s="1005" t="s">
        <v>1176</v>
      </c>
      <c r="Z767" s="310"/>
      <c r="AA767" s="310"/>
      <c r="AB767" s="5"/>
      <c r="AC767" s="318">
        <f>OBRA!BX772</f>
        <v>0</v>
      </c>
      <c r="AD767" s="353"/>
      <c r="AF767"/>
      <c r="AG767"/>
      <c r="AH767"/>
      <c r="AI767"/>
      <c r="AJ767"/>
      <c r="AK767"/>
      <c r="AL767"/>
      <c r="AM767"/>
    </row>
    <row r="768" spans="1:39" ht="87" customHeight="1">
      <c r="A768" s="22" t="s">
        <v>2209</v>
      </c>
      <c r="B768" s="814">
        <f>'ADMININSTRACIÓN DIR - OBRA'!B1041</f>
        <v>0</v>
      </c>
      <c r="C768" s="16">
        <f>OBRA!K773</f>
        <v>2024</v>
      </c>
      <c r="D768" s="17" t="str">
        <f>OBRA!N773</f>
        <v>CUENTA CORRIENTE</v>
      </c>
      <c r="E768" s="479" t="s">
        <v>1427</v>
      </c>
      <c r="F768" s="163"/>
      <c r="G768" s="511"/>
      <c r="H768" s="163"/>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6772</v>
      </c>
      <c r="O768" s="2003"/>
      <c r="P768" s="6">
        <f>OBRA!T773</f>
        <v>45308</v>
      </c>
      <c r="Q768" s="4">
        <f>OBRA!S773</f>
        <v>33325.64</v>
      </c>
      <c r="R768" s="79" t="s">
        <v>67</v>
      </c>
      <c r="S768" s="5">
        <f>OBRA!U773</f>
        <v>45309</v>
      </c>
      <c r="T768" s="11">
        <f>OBRA!V773</f>
        <v>45315</v>
      </c>
      <c r="U768" s="208" t="s">
        <v>5624</v>
      </c>
      <c r="V768" s="378" t="s">
        <v>1427</v>
      </c>
      <c r="W768" s="538"/>
      <c r="X768" s="438"/>
      <c r="Y768" s="1005" t="s">
        <v>1176</v>
      </c>
      <c r="Z768" s="310"/>
      <c r="AA768" s="310"/>
      <c r="AB768" s="5"/>
      <c r="AC768" s="318">
        <f>OBRA!BX773</f>
        <v>0</v>
      </c>
      <c r="AD768" s="353"/>
      <c r="AF768"/>
      <c r="AG768"/>
      <c r="AH768"/>
      <c r="AI768"/>
      <c r="AJ768"/>
      <c r="AK768"/>
      <c r="AL768"/>
      <c r="AM768"/>
    </row>
    <row r="769" spans="1:39" ht="113.25" customHeight="1">
      <c r="A769" s="22" t="s">
        <v>2209</v>
      </c>
      <c r="B769" s="814">
        <f>'ADMININSTRACIÓN DIR - OBRA'!B1042</f>
        <v>0</v>
      </c>
      <c r="C769" s="16">
        <f>OBRA!K774</f>
        <v>2024</v>
      </c>
      <c r="D769" s="17" t="str">
        <f>OBRA!N774</f>
        <v>CUENTA CORRIENTE</v>
      </c>
      <c r="E769" s="479" t="s">
        <v>1427</v>
      </c>
      <c r="F769" s="497" t="s">
        <v>6168</v>
      </c>
      <c r="G769" s="496" t="s">
        <v>6168</v>
      </c>
      <c r="H769" s="163"/>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6772</v>
      </c>
      <c r="O769" s="2003" t="s">
        <v>6848</v>
      </c>
      <c r="P769" s="6">
        <f>OBRA!T774</f>
        <v>45296</v>
      </c>
      <c r="Q769" s="4">
        <f>OBRA!S774</f>
        <v>25520</v>
      </c>
      <c r="R769" s="79" t="s">
        <v>67</v>
      </c>
      <c r="S769" s="5">
        <f>OBRA!U774</f>
        <v>45299</v>
      </c>
      <c r="T769" s="11">
        <f>OBRA!V774</f>
        <v>45300</v>
      </c>
      <c r="U769" s="208" t="s">
        <v>5624</v>
      </c>
      <c r="V769" s="378" t="s">
        <v>1427</v>
      </c>
      <c r="W769" s="500" t="s">
        <v>6168</v>
      </c>
      <c r="X769" s="589" t="s">
        <v>6168</v>
      </c>
      <c r="Y769" s="1005" t="s">
        <v>1176</v>
      </c>
      <c r="Z769" s="310"/>
      <c r="AA769" s="310"/>
      <c r="AB769" s="5"/>
      <c r="AC769" s="318">
        <f>OBRA!BX774</f>
        <v>0</v>
      </c>
      <c r="AD769" s="353"/>
      <c r="AF769"/>
      <c r="AG769"/>
      <c r="AH769"/>
      <c r="AI769"/>
      <c r="AJ769"/>
      <c r="AK769"/>
      <c r="AL769"/>
      <c r="AM769"/>
    </row>
    <row r="770" spans="1:39" ht="110.25" customHeight="1">
      <c r="A770" s="22" t="s">
        <v>2209</v>
      </c>
      <c r="B770" s="814">
        <f>'ADMININSTRACIÓN DIR - OBRA'!B1043</f>
        <v>0</v>
      </c>
      <c r="C770" s="16">
        <f>OBRA!K775</f>
        <v>2024</v>
      </c>
      <c r="D770" s="17" t="str">
        <f>OBRA!N775</f>
        <v>CUENTA CORRIENTE</v>
      </c>
      <c r="E770" s="479" t="s">
        <v>1427</v>
      </c>
      <c r="F770" s="163"/>
      <c r="G770" s="511"/>
      <c r="H770" s="163"/>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6772</v>
      </c>
      <c r="O770" s="2003"/>
      <c r="P770" s="6">
        <f>OBRA!T775</f>
        <v>45348</v>
      </c>
      <c r="Q770" s="4">
        <f>OBRA!S775</f>
        <v>69600</v>
      </c>
      <c r="R770" s="79" t="s">
        <v>6745</v>
      </c>
      <c r="S770" s="5">
        <f>OBRA!U775</f>
        <v>45349</v>
      </c>
      <c r="T770" s="11">
        <f>OBRA!V775</f>
        <v>45352</v>
      </c>
      <c r="U770" s="208" t="s">
        <v>5624</v>
      </c>
      <c r="V770" s="378" t="s">
        <v>1427</v>
      </c>
      <c r="W770" s="538"/>
      <c r="X770" s="438"/>
      <c r="Y770" s="1005" t="s">
        <v>1176</v>
      </c>
      <c r="Z770" s="310"/>
      <c r="AA770" s="310"/>
      <c r="AB770" s="5"/>
      <c r="AC770" s="318">
        <f>OBRA!BX775</f>
        <v>0</v>
      </c>
      <c r="AD770" s="353"/>
      <c r="AF770"/>
      <c r="AG770"/>
      <c r="AH770"/>
      <c r="AI770"/>
      <c r="AJ770"/>
      <c r="AK770"/>
      <c r="AL770"/>
      <c r="AM770"/>
    </row>
    <row r="771" spans="1:39" ht="93" customHeight="1">
      <c r="A771" s="22" t="s">
        <v>2209</v>
      </c>
      <c r="B771" s="814">
        <f>'ADMININSTRACIÓN DIR - OBRA'!B1044</f>
        <v>0</v>
      </c>
      <c r="C771" s="16">
        <f>OBRA!K776</f>
        <v>2024</v>
      </c>
      <c r="D771" s="17" t="str">
        <f>OBRA!N776</f>
        <v>CUENTA CORRIENTE</v>
      </c>
      <c r="E771" s="479" t="s">
        <v>1427</v>
      </c>
      <c r="F771" s="497" t="s">
        <v>6168</v>
      </c>
      <c r="G771" s="496" t="s">
        <v>6168</v>
      </c>
      <c r="H771" s="163"/>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6772</v>
      </c>
      <c r="O771" s="2003" t="s">
        <v>6848</v>
      </c>
      <c r="P771" s="6">
        <f>OBRA!T776</f>
        <v>45362</v>
      </c>
      <c r="Q771" s="4">
        <f>OBRA!S776</f>
        <v>9048</v>
      </c>
      <c r="R771" s="79" t="s">
        <v>67</v>
      </c>
      <c r="S771" s="5">
        <f>OBRA!U776</f>
        <v>45363</v>
      </c>
      <c r="T771" s="11">
        <f>OBRA!V776</f>
        <v>45365</v>
      </c>
      <c r="U771" s="208" t="s">
        <v>5624</v>
      </c>
      <c r="V771" s="378" t="s">
        <v>1427</v>
      </c>
      <c r="W771" s="500" t="s">
        <v>6168</v>
      </c>
      <c r="X771" s="589" t="s">
        <v>6168</v>
      </c>
      <c r="Y771" s="1005" t="s">
        <v>1176</v>
      </c>
      <c r="Z771" s="310"/>
      <c r="AA771" s="310"/>
      <c r="AB771" s="5"/>
      <c r="AC771" s="318">
        <f>OBRA!BX776</f>
        <v>0</v>
      </c>
      <c r="AD771" s="353"/>
      <c r="AF771"/>
      <c r="AG771"/>
      <c r="AH771"/>
      <c r="AI771"/>
      <c r="AJ771"/>
      <c r="AK771"/>
      <c r="AL771"/>
      <c r="AM771"/>
    </row>
    <row r="772" spans="1:39" ht="213" customHeight="1">
      <c r="A772" s="22" t="s">
        <v>2209</v>
      </c>
      <c r="B772" s="814">
        <f>'ADMININSTRACIÓN DIR - OBRA'!B1045</f>
        <v>0</v>
      </c>
      <c r="C772" s="16">
        <f>OBRA!K777</f>
        <v>2024</v>
      </c>
      <c r="D772" s="17" t="str">
        <f>OBRA!N777</f>
        <v>CUENTA CORRIENTE</v>
      </c>
      <c r="E772" s="479" t="s">
        <v>1427</v>
      </c>
      <c r="F772" s="163"/>
      <c r="G772" s="511"/>
      <c r="H772" s="163"/>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6772</v>
      </c>
      <c r="O772" s="2003"/>
      <c r="P772" s="6">
        <f>OBRA!T777</f>
        <v>45363</v>
      </c>
      <c r="Q772" s="4">
        <f>OBRA!S777</f>
        <v>5800</v>
      </c>
      <c r="R772" s="79" t="s">
        <v>6746</v>
      </c>
      <c r="S772" s="5">
        <f>OBRA!U777</f>
        <v>45365</v>
      </c>
      <c r="T772" s="11">
        <f>OBRA!V777</f>
        <v>45365</v>
      </c>
      <c r="U772" s="208" t="s">
        <v>5624</v>
      </c>
      <c r="V772" s="378" t="s">
        <v>1427</v>
      </c>
      <c r="W772" s="538"/>
      <c r="X772" s="438"/>
      <c r="Y772" s="1005" t="s">
        <v>1176</v>
      </c>
      <c r="Z772" s="310"/>
      <c r="AA772" s="310"/>
      <c r="AB772" s="5"/>
      <c r="AC772" s="318">
        <f>OBRA!BX777</f>
        <v>0</v>
      </c>
      <c r="AD772" s="353"/>
      <c r="AF772"/>
      <c r="AG772"/>
      <c r="AH772"/>
      <c r="AI772"/>
      <c r="AJ772"/>
      <c r="AK772"/>
      <c r="AL772"/>
      <c r="AM772"/>
    </row>
    <row r="773" spans="1:39" ht="133.5" customHeight="1">
      <c r="A773" s="22" t="s">
        <v>2209</v>
      </c>
      <c r="B773" s="814">
        <f>'ADMININSTRACIÓN DIR - OBRA'!B1046</f>
        <v>0</v>
      </c>
      <c r="C773" s="16">
        <f>OBRA!K778</f>
        <v>2024</v>
      </c>
      <c r="D773" s="17" t="str">
        <f>OBRA!N778</f>
        <v>CUENTA CORRIENTE</v>
      </c>
      <c r="E773" s="479" t="s">
        <v>1427</v>
      </c>
      <c r="F773" s="163"/>
      <c r="G773" s="511"/>
      <c r="H773" s="163"/>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6772</v>
      </c>
      <c r="O773" s="2003"/>
      <c r="P773" s="6">
        <f>OBRA!T778</f>
        <v>45362</v>
      </c>
      <c r="Q773" s="4">
        <f>OBRA!S778</f>
        <v>77546</v>
      </c>
      <c r="R773" s="79" t="s">
        <v>6745</v>
      </c>
      <c r="S773" s="5">
        <f>OBRA!U778</f>
        <v>45363</v>
      </c>
      <c r="T773" s="11">
        <f>OBRA!V778</f>
        <v>45364</v>
      </c>
      <c r="U773" s="208" t="s">
        <v>5624</v>
      </c>
      <c r="V773" s="378" t="s">
        <v>1427</v>
      </c>
      <c r="W773" s="538"/>
      <c r="X773" s="438"/>
      <c r="Y773" s="1005" t="s">
        <v>1176</v>
      </c>
      <c r="Z773" s="310"/>
      <c r="AA773" s="310"/>
      <c r="AB773" s="5"/>
      <c r="AC773" s="318">
        <f>OBRA!BX778</f>
        <v>0</v>
      </c>
      <c r="AD773" s="353"/>
      <c r="AF773"/>
      <c r="AG773"/>
      <c r="AH773"/>
      <c r="AI773"/>
      <c r="AJ773"/>
      <c r="AK773"/>
      <c r="AL773"/>
      <c r="AM773"/>
    </row>
    <row r="774" spans="1:39" ht="128.25" customHeight="1">
      <c r="A774" s="22" t="s">
        <v>2209</v>
      </c>
      <c r="B774" s="814">
        <f>'ADMININSTRACIÓN DIR - OBRA'!B1047</f>
        <v>0</v>
      </c>
      <c r="C774" s="16">
        <f>OBRA!K779</f>
        <v>2024</v>
      </c>
      <c r="D774" s="17" t="str">
        <f>OBRA!N779</f>
        <v>CUENTA CORRIENTE</v>
      </c>
      <c r="E774" s="479" t="s">
        <v>1427</v>
      </c>
      <c r="F774" s="163"/>
      <c r="G774" s="511"/>
      <c r="H774" s="163"/>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6772</v>
      </c>
      <c r="O774" s="2003"/>
      <c r="P774" s="6">
        <f>OBRA!T779</f>
        <v>45369</v>
      </c>
      <c r="Q774" s="4">
        <f>OBRA!S779</f>
        <v>61479.999999999993</v>
      </c>
      <c r="R774" s="79" t="s">
        <v>67</v>
      </c>
      <c r="S774" s="5">
        <f>OBRA!U779</f>
        <v>45370</v>
      </c>
      <c r="T774" s="11">
        <f>OBRA!V779</f>
        <v>45372</v>
      </c>
      <c r="U774" s="208" t="s">
        <v>5624</v>
      </c>
      <c r="V774" s="378" t="s">
        <v>1427</v>
      </c>
      <c r="W774" s="538"/>
      <c r="X774" s="438"/>
      <c r="Y774" s="1005" t="s">
        <v>1176</v>
      </c>
      <c r="Z774" s="310"/>
      <c r="AA774" s="310"/>
      <c r="AB774" s="5"/>
      <c r="AC774" s="318">
        <f>OBRA!BX779</f>
        <v>0</v>
      </c>
      <c r="AD774" s="353"/>
      <c r="AF774"/>
      <c r="AG774"/>
      <c r="AH774"/>
      <c r="AI774"/>
      <c r="AJ774"/>
      <c r="AK774"/>
      <c r="AL774"/>
      <c r="AM774"/>
    </row>
    <row r="775" spans="1:39" ht="103.5" customHeight="1">
      <c r="A775" s="22" t="s">
        <v>2209</v>
      </c>
      <c r="B775" s="814">
        <f>'ADMININSTRACIÓN DIR - OBRA'!B1048</f>
        <v>0</v>
      </c>
      <c r="C775" s="16">
        <f>OBRA!K780</f>
        <v>2024</v>
      </c>
      <c r="D775" s="17" t="str">
        <f>OBRA!N780</f>
        <v>CUENTA CORRIENTE</v>
      </c>
      <c r="E775" s="479" t="s">
        <v>1427</v>
      </c>
      <c r="F775" s="497" t="s">
        <v>5875</v>
      </c>
      <c r="G775" s="511"/>
      <c r="H775" s="163"/>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6772</v>
      </c>
      <c r="O775" s="2003" t="s">
        <v>6860</v>
      </c>
      <c r="P775" s="6">
        <f>OBRA!T780</f>
        <v>45370</v>
      </c>
      <c r="Q775" s="4">
        <f>OBRA!S780</f>
        <v>47923.079999999994</v>
      </c>
      <c r="R775" s="79" t="s">
        <v>67</v>
      </c>
      <c r="S775" s="5">
        <f>OBRA!U780</f>
        <v>45372</v>
      </c>
      <c r="T775" s="11">
        <f>OBRA!V780</f>
        <v>45376</v>
      </c>
      <c r="U775" s="208" t="s">
        <v>5624</v>
      </c>
      <c r="V775" s="378" t="s">
        <v>1427</v>
      </c>
      <c r="W775" s="500" t="s">
        <v>5875</v>
      </c>
      <c r="X775" s="589" t="s">
        <v>5875</v>
      </c>
      <c r="Y775" s="1005" t="s">
        <v>1176</v>
      </c>
      <c r="Z775" s="310"/>
      <c r="AA775" s="310"/>
      <c r="AB775" s="5"/>
      <c r="AC775" s="318">
        <f>OBRA!BX780</f>
        <v>0</v>
      </c>
      <c r="AD775" s="353"/>
      <c r="AF775"/>
      <c r="AG775"/>
      <c r="AH775"/>
      <c r="AI775"/>
      <c r="AJ775"/>
      <c r="AK775"/>
      <c r="AL775"/>
      <c r="AM775"/>
    </row>
    <row r="776" spans="1:39" ht="255" customHeight="1">
      <c r="A776" s="22" t="s">
        <v>2209</v>
      </c>
      <c r="B776" s="814">
        <f>'ADMININSTRACIÓN DIR - OBRA'!B1049</f>
        <v>0</v>
      </c>
      <c r="C776" s="16">
        <f>OBRA!K781</f>
        <v>2024</v>
      </c>
      <c r="D776" s="17" t="str">
        <f>OBRA!N781</f>
        <v>CUENTA CORRIENTE</v>
      </c>
      <c r="E776" s="479" t="s">
        <v>1427</v>
      </c>
      <c r="F776" s="163"/>
      <c r="G776" s="511"/>
      <c r="H776" s="163"/>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6773</v>
      </c>
      <c r="O776" s="2003"/>
      <c r="P776" s="6">
        <f>OBRA!T781</f>
        <v>45383</v>
      </c>
      <c r="Q776" s="4">
        <f>OBRA!S781</f>
        <v>97208</v>
      </c>
      <c r="R776" s="79" t="s">
        <v>6745</v>
      </c>
      <c r="S776" s="5">
        <f>OBRA!U781</f>
        <v>45384</v>
      </c>
      <c r="T776" s="11">
        <f>OBRA!V781</f>
        <v>45386</v>
      </c>
      <c r="U776" s="208" t="s">
        <v>5624</v>
      </c>
      <c r="V776" s="378" t="s">
        <v>1427</v>
      </c>
      <c r="W776" s="538"/>
      <c r="X776" s="438"/>
      <c r="Y776" s="1005" t="s">
        <v>1176</v>
      </c>
      <c r="Z776" s="310"/>
      <c r="AA776" s="310"/>
      <c r="AB776" s="5"/>
      <c r="AC776" s="318">
        <f>OBRA!BX781</f>
        <v>0</v>
      </c>
      <c r="AD776" s="353"/>
      <c r="AF776"/>
      <c r="AG776"/>
      <c r="AH776"/>
      <c r="AI776"/>
      <c r="AJ776"/>
      <c r="AK776"/>
      <c r="AL776"/>
      <c r="AM776"/>
    </row>
    <row r="777" spans="1:39" ht="73.5" customHeight="1">
      <c r="A777" s="22" t="s">
        <v>2209</v>
      </c>
      <c r="B777" s="814">
        <f>'ADMININSTRACIÓN DIR - OBRA'!B1050</f>
        <v>0</v>
      </c>
      <c r="C777" s="16">
        <f>OBRA!K782</f>
        <v>2024</v>
      </c>
      <c r="D777" s="17" t="str">
        <f>OBRA!N782</f>
        <v>CUENTA CORRIENTE</v>
      </c>
      <c r="E777" s="479" t="s">
        <v>1427</v>
      </c>
      <c r="F777" s="497" t="s">
        <v>6168</v>
      </c>
      <c r="G777" s="496" t="s">
        <v>6168</v>
      </c>
      <c r="H777" s="163"/>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6773</v>
      </c>
      <c r="O777" s="2003" t="s">
        <v>6848</v>
      </c>
      <c r="P777" s="6">
        <f>OBRA!T782</f>
        <v>45400</v>
      </c>
      <c r="Q777" s="4">
        <f>OBRA!S782</f>
        <v>174092.79999999999</v>
      </c>
      <c r="R777" s="79" t="s">
        <v>67</v>
      </c>
      <c r="S777" s="5">
        <f>OBRA!U782</f>
        <v>45404</v>
      </c>
      <c r="T777" s="11">
        <f>OBRA!V782</f>
        <v>45408</v>
      </c>
      <c r="U777" s="208" t="s">
        <v>5624</v>
      </c>
      <c r="V777" s="378" t="s">
        <v>1427</v>
      </c>
      <c r="W777" s="500" t="s">
        <v>6168</v>
      </c>
      <c r="X777" s="589" t="s">
        <v>6168</v>
      </c>
      <c r="Y777" s="1005" t="s">
        <v>1176</v>
      </c>
      <c r="Z777" s="310"/>
      <c r="AA777" s="310"/>
      <c r="AB777" s="5"/>
      <c r="AC777" s="318">
        <f>OBRA!BX782</f>
        <v>0</v>
      </c>
      <c r="AD777" s="353"/>
      <c r="AF777"/>
      <c r="AG777"/>
      <c r="AH777"/>
      <c r="AI777"/>
      <c r="AJ777"/>
      <c r="AK777"/>
      <c r="AL777"/>
      <c r="AM777"/>
    </row>
    <row r="778" spans="1:39" ht="138" customHeight="1">
      <c r="A778" s="22" t="s">
        <v>2209</v>
      </c>
      <c r="B778" s="814">
        <f>'ADMININSTRACIÓN DIR - OBRA'!B1051</f>
        <v>0</v>
      </c>
      <c r="C778" s="16">
        <f>OBRA!K783</f>
        <v>2024</v>
      </c>
      <c r="D778" s="17" t="str">
        <f>OBRA!N783</f>
        <v>CUENTA CORRIENTE</v>
      </c>
      <c r="E778" s="479" t="s">
        <v>1427</v>
      </c>
      <c r="F778" s="497" t="s">
        <v>6530</v>
      </c>
      <c r="G778" s="511"/>
      <c r="H778" s="163"/>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6773</v>
      </c>
      <c r="O778" s="2003" t="s">
        <v>6861</v>
      </c>
      <c r="P778" s="6">
        <f>OBRA!T783</f>
        <v>45399</v>
      </c>
      <c r="Q778" s="4">
        <f>OBRA!S783</f>
        <v>6380</v>
      </c>
      <c r="R778" s="79" t="s">
        <v>6746</v>
      </c>
      <c r="S778" s="5">
        <f>OBRA!U783</f>
        <v>45400</v>
      </c>
      <c r="T778" s="11">
        <f>OBRA!V783</f>
        <v>45401</v>
      </c>
      <c r="U778" s="208" t="s">
        <v>5624</v>
      </c>
      <c r="V778" s="378" t="s">
        <v>1427</v>
      </c>
      <c r="W778" s="500" t="s">
        <v>6530</v>
      </c>
      <c r="X778" s="438"/>
      <c r="Y778" s="1005" t="s">
        <v>1176</v>
      </c>
      <c r="Z778" s="310"/>
      <c r="AA778" s="310"/>
      <c r="AB778" s="5"/>
      <c r="AC778" s="318">
        <f>OBRA!BX783</f>
        <v>0</v>
      </c>
      <c r="AD778" s="353"/>
      <c r="AF778"/>
      <c r="AG778"/>
      <c r="AH778"/>
      <c r="AI778"/>
      <c r="AJ778"/>
      <c r="AK778"/>
      <c r="AL778"/>
      <c r="AM778"/>
    </row>
    <row r="779" spans="1:39" ht="189.75" customHeight="1">
      <c r="A779" s="22" t="s">
        <v>2209</v>
      </c>
      <c r="B779" s="814">
        <f>'ADMININSTRACIÓN DIR - OBRA'!B1052</f>
        <v>0</v>
      </c>
      <c r="C779" s="16">
        <f>OBRA!K784</f>
        <v>2024</v>
      </c>
      <c r="D779" s="17" t="str">
        <f>OBRA!N784</f>
        <v>CUENTA CORRIENTE</v>
      </c>
      <c r="E779" s="479" t="s">
        <v>1427</v>
      </c>
      <c r="F779" s="497" t="s">
        <v>6530</v>
      </c>
      <c r="G779" s="511"/>
      <c r="H779" s="163"/>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6773</v>
      </c>
      <c r="O779" s="2003" t="s">
        <v>6861</v>
      </c>
      <c r="P779" s="6">
        <f>OBRA!T784</f>
        <v>45397</v>
      </c>
      <c r="Q779" s="4">
        <f>OBRA!S784</f>
        <v>23200</v>
      </c>
      <c r="R779" s="79" t="s">
        <v>6746</v>
      </c>
      <c r="S779" s="5">
        <f>OBRA!U784</f>
        <v>45398</v>
      </c>
      <c r="T779" s="11">
        <f>OBRA!V784</f>
        <v>45401</v>
      </c>
      <c r="U779" s="208" t="s">
        <v>5624</v>
      </c>
      <c r="V779" s="378" t="s">
        <v>1427</v>
      </c>
      <c r="W779" s="500" t="s">
        <v>6530</v>
      </c>
      <c r="X779" s="438"/>
      <c r="Y779" s="1005" t="s">
        <v>1176</v>
      </c>
      <c r="Z779" s="310"/>
      <c r="AA779" s="310"/>
      <c r="AB779" s="5"/>
      <c r="AC779" s="318">
        <f>OBRA!BX784</f>
        <v>0</v>
      </c>
      <c r="AD779" s="353"/>
      <c r="AF779"/>
      <c r="AG779"/>
      <c r="AH779"/>
      <c r="AI779"/>
      <c r="AJ779"/>
      <c r="AK779"/>
      <c r="AL779"/>
      <c r="AM779"/>
    </row>
    <row r="780" spans="1:39" ht="132" customHeight="1">
      <c r="A780" s="22" t="s">
        <v>2209</v>
      </c>
      <c r="B780" s="814">
        <f>'ADMININSTRACIÓN DIR - OBRA'!B1053</f>
        <v>0</v>
      </c>
      <c r="C780" s="16">
        <f>OBRA!K785</f>
        <v>2024</v>
      </c>
      <c r="D780" s="17" t="str">
        <f>OBRA!N785</f>
        <v>CUENTA CORRIENTE</v>
      </c>
      <c r="E780" s="479" t="s">
        <v>1427</v>
      </c>
      <c r="F780" s="163"/>
      <c r="G780" s="511"/>
      <c r="H780" s="163"/>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6773</v>
      </c>
      <c r="O780" s="2003"/>
      <c r="P780" s="6">
        <f>OBRA!T785</f>
        <v>45401</v>
      </c>
      <c r="Q780" s="4">
        <f>OBRA!S785</f>
        <v>6380</v>
      </c>
      <c r="R780" s="79" t="s">
        <v>6746</v>
      </c>
      <c r="S780" s="5">
        <f>OBRA!U785</f>
        <v>45405</v>
      </c>
      <c r="T780" s="11">
        <f>OBRA!V785</f>
        <v>45406</v>
      </c>
      <c r="U780" s="208" t="s">
        <v>5624</v>
      </c>
      <c r="V780" s="378" t="s">
        <v>1427</v>
      </c>
      <c r="W780" s="538"/>
      <c r="X780" s="438"/>
      <c r="Y780" s="1005" t="s">
        <v>1176</v>
      </c>
      <c r="Z780" s="310"/>
      <c r="AA780" s="310"/>
      <c r="AB780" s="5"/>
      <c r="AC780" s="318">
        <f>OBRA!BX785</f>
        <v>0</v>
      </c>
      <c r="AD780" s="353"/>
      <c r="AF780"/>
      <c r="AG780"/>
      <c r="AH780"/>
      <c r="AI780"/>
      <c r="AJ780"/>
      <c r="AK780"/>
      <c r="AL780"/>
      <c r="AM780"/>
    </row>
    <row r="781" spans="1:39" ht="68.25" customHeight="1">
      <c r="A781" s="22" t="s">
        <v>2209</v>
      </c>
      <c r="B781" s="814">
        <f>'ADMININSTRACIÓN DIR - OBRA'!B1054</f>
        <v>0</v>
      </c>
      <c r="C781" s="16">
        <f>OBRA!K786</f>
        <v>2024</v>
      </c>
      <c r="D781" s="17" t="str">
        <f>OBRA!N786</f>
        <v>CUENTA CORRIENTE</v>
      </c>
      <c r="E781" s="479" t="s">
        <v>1427</v>
      </c>
      <c r="F781" s="497" t="s">
        <v>6530</v>
      </c>
      <c r="G781" s="511"/>
      <c r="H781" s="163"/>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6773</v>
      </c>
      <c r="O781" s="2003" t="s">
        <v>6861</v>
      </c>
      <c r="P781" s="6">
        <f>OBRA!T786</f>
        <v>45450</v>
      </c>
      <c r="Q781" s="4">
        <f>OBRA!S786</f>
        <v>19720</v>
      </c>
      <c r="R781" s="79" t="s">
        <v>67</v>
      </c>
      <c r="S781" s="5">
        <f>OBRA!U786</f>
        <v>45453</v>
      </c>
      <c r="T781" s="11">
        <f>OBRA!V786</f>
        <v>45453</v>
      </c>
      <c r="U781" s="208" t="s">
        <v>5624</v>
      </c>
      <c r="V781" s="62" t="s">
        <v>1427</v>
      </c>
      <c r="W781" s="500" t="s">
        <v>6530</v>
      </c>
      <c r="X781" s="438"/>
      <c r="Y781" s="1005" t="s">
        <v>1176</v>
      </c>
      <c r="Z781" s="310"/>
      <c r="AA781" s="310"/>
      <c r="AB781" s="5"/>
      <c r="AC781" s="318">
        <f>OBRA!BX786</f>
        <v>0</v>
      </c>
      <c r="AD781" s="353"/>
      <c r="AF781"/>
      <c r="AG781"/>
      <c r="AH781"/>
      <c r="AI781"/>
      <c r="AJ781"/>
      <c r="AK781"/>
      <c r="AL781"/>
      <c r="AM781"/>
    </row>
    <row r="782" spans="1:39" ht="290.25" customHeight="1">
      <c r="A782" s="22" t="s">
        <v>2209</v>
      </c>
      <c r="B782" s="814">
        <f>'ADMININSTRACIÓN DIR - OBRA'!B1055</f>
        <v>0</v>
      </c>
      <c r="C782" s="16">
        <f>OBRA!K787</f>
        <v>2024</v>
      </c>
      <c r="D782" s="17" t="str">
        <f>OBRA!N787</f>
        <v>CUENTA CORRIENTE</v>
      </c>
      <c r="E782" s="479" t="s">
        <v>1427</v>
      </c>
      <c r="F782" s="163"/>
      <c r="G782" s="511"/>
      <c r="H782" s="163"/>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6773</v>
      </c>
      <c r="O782" s="2003"/>
      <c r="P782" s="6">
        <f>OBRA!T787</f>
        <v>45456</v>
      </c>
      <c r="Q782" s="4">
        <f>OBRA!S787</f>
        <v>85747.199999999997</v>
      </c>
      <c r="R782" s="79" t="s">
        <v>6745</v>
      </c>
      <c r="S782" s="5">
        <f>OBRA!U787</f>
        <v>45460</v>
      </c>
      <c r="T782" s="11">
        <f>OBRA!V787</f>
        <v>45471</v>
      </c>
      <c r="U782" s="208" t="s">
        <v>5624</v>
      </c>
      <c r="V782" s="378" t="s">
        <v>1427</v>
      </c>
      <c r="W782" s="538"/>
      <c r="X782" s="438"/>
      <c r="Y782" s="1005" t="s">
        <v>1176</v>
      </c>
      <c r="Z782" s="310"/>
      <c r="AA782" s="310"/>
      <c r="AB782" s="5"/>
      <c r="AC782" s="318">
        <f>OBRA!BX787</f>
        <v>0</v>
      </c>
      <c r="AD782" s="353"/>
      <c r="AF782"/>
      <c r="AG782"/>
      <c r="AH782"/>
      <c r="AI782"/>
      <c r="AJ782"/>
      <c r="AK782"/>
      <c r="AL782"/>
      <c r="AM782"/>
    </row>
    <row r="783" spans="1:39" ht="120.75" customHeight="1">
      <c r="A783" s="22" t="s">
        <v>2209</v>
      </c>
      <c r="B783" s="814">
        <f>'ADMININSTRACIÓN DIR - OBRA'!B1056</f>
        <v>0</v>
      </c>
      <c r="C783" s="16">
        <f>OBRA!K788</f>
        <v>2024</v>
      </c>
      <c r="D783" s="17" t="str">
        <f>OBRA!N788</f>
        <v>CUENTA CORRIENTE</v>
      </c>
      <c r="E783" s="479" t="s">
        <v>1427</v>
      </c>
      <c r="F783" s="163"/>
      <c r="G783" s="511"/>
      <c r="H783" s="163"/>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6773</v>
      </c>
      <c r="O783" s="2003" t="s">
        <v>6862</v>
      </c>
      <c r="P783" s="6">
        <f>OBRA!T788</f>
        <v>45443</v>
      </c>
      <c r="Q783" s="4">
        <f>OBRA!S788</f>
        <v>39770</v>
      </c>
      <c r="R783" s="79" t="s">
        <v>6745</v>
      </c>
      <c r="S783" s="5">
        <f>OBRA!U788</f>
        <v>45444</v>
      </c>
      <c r="T783" s="11">
        <f>OBRA!V788</f>
        <v>45451</v>
      </c>
      <c r="U783" s="208" t="s">
        <v>5624</v>
      </c>
      <c r="V783" s="378" t="s">
        <v>1427</v>
      </c>
      <c r="W783" s="538"/>
      <c r="X783" s="438"/>
      <c r="Y783" s="1005" t="s">
        <v>1176</v>
      </c>
      <c r="Z783" s="310"/>
      <c r="AA783" s="310"/>
      <c r="AB783" s="5"/>
      <c r="AC783" s="318">
        <f>OBRA!BX788</f>
        <v>0</v>
      </c>
      <c r="AD783" s="353"/>
      <c r="AF783"/>
      <c r="AG783"/>
      <c r="AH783"/>
      <c r="AI783"/>
      <c r="AJ783"/>
      <c r="AK783"/>
      <c r="AL783"/>
      <c r="AM783"/>
    </row>
    <row r="784" spans="1:39" ht="102.75" customHeight="1">
      <c r="A784" s="22" t="s">
        <v>2209</v>
      </c>
      <c r="B784" s="814">
        <f>'ADMININSTRACIÓN DIR - OBRA'!B1057</f>
        <v>0</v>
      </c>
      <c r="C784" s="16">
        <f>OBRA!K789</f>
        <v>2024</v>
      </c>
      <c r="D784" s="17" t="str">
        <f>OBRA!N789</f>
        <v>CUENTA CORRIENTE</v>
      </c>
      <c r="E784" s="479" t="s">
        <v>1427</v>
      </c>
      <c r="F784" s="163"/>
      <c r="G784" s="511"/>
      <c r="H784" s="163"/>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6773</v>
      </c>
      <c r="O784" s="2003" t="s">
        <v>6862</v>
      </c>
      <c r="P784" s="6">
        <f>OBRA!T789</f>
        <v>45450</v>
      </c>
      <c r="Q784" s="4">
        <f>OBRA!S789</f>
        <v>46080</v>
      </c>
      <c r="R784" s="79" t="s">
        <v>6745</v>
      </c>
      <c r="S784" s="5">
        <f>OBRA!U789</f>
        <v>45452</v>
      </c>
      <c r="T784" s="11">
        <f>OBRA!V789</f>
        <v>45463</v>
      </c>
      <c r="U784" s="208" t="s">
        <v>5624</v>
      </c>
      <c r="V784" s="378" t="s">
        <v>1427</v>
      </c>
      <c r="W784" s="538"/>
      <c r="X784" s="438"/>
      <c r="Y784" s="1005" t="s">
        <v>1176</v>
      </c>
      <c r="Z784" s="310"/>
      <c r="AA784" s="310"/>
      <c r="AB784" s="5"/>
      <c r="AC784" s="318">
        <f>OBRA!BX789</f>
        <v>0</v>
      </c>
      <c r="AD784" s="353"/>
      <c r="AF784"/>
      <c r="AG784"/>
      <c r="AH784"/>
      <c r="AI784"/>
      <c r="AJ784"/>
      <c r="AK784"/>
      <c r="AL784"/>
      <c r="AM784"/>
    </row>
    <row r="785" spans="1:39" ht="115.5" customHeight="1">
      <c r="A785" s="22" t="s">
        <v>2209</v>
      </c>
      <c r="B785" s="814">
        <f>'ADMININSTRACIÓN DIR - OBRA'!B1058</f>
        <v>0</v>
      </c>
      <c r="C785" s="16">
        <f>OBRA!K790</f>
        <v>2024</v>
      </c>
      <c r="D785" s="17" t="str">
        <f>OBRA!N790</f>
        <v>CUENTA CORRIENTE</v>
      </c>
      <c r="E785" s="479" t="s">
        <v>1427</v>
      </c>
      <c r="F785" s="163"/>
      <c r="G785" s="511"/>
      <c r="H785" s="163"/>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6773</v>
      </c>
      <c r="O785" s="2003"/>
      <c r="P785" s="6">
        <f>OBRA!T790</f>
        <v>45469</v>
      </c>
      <c r="Q785" s="4">
        <f>OBRA!S790</f>
        <v>30159.999999999996</v>
      </c>
      <c r="R785" s="79" t="s">
        <v>6745</v>
      </c>
      <c r="S785" s="5">
        <f>OBRA!U790</f>
        <v>45470</v>
      </c>
      <c r="T785" s="11">
        <f>OBRA!V790</f>
        <v>45474</v>
      </c>
      <c r="U785" s="208" t="s">
        <v>5624</v>
      </c>
      <c r="V785" s="378" t="s">
        <v>1427</v>
      </c>
      <c r="W785" s="538"/>
      <c r="X785" s="438"/>
      <c r="Y785" s="1005" t="s">
        <v>1176</v>
      </c>
      <c r="Z785" s="310"/>
      <c r="AA785" s="310"/>
      <c r="AB785" s="5"/>
      <c r="AC785" s="318">
        <f>OBRA!BX790</f>
        <v>0</v>
      </c>
      <c r="AD785" s="353"/>
      <c r="AF785"/>
      <c r="AG785"/>
      <c r="AH785"/>
      <c r="AI785"/>
      <c r="AJ785"/>
      <c r="AK785"/>
      <c r="AL785"/>
      <c r="AM785"/>
    </row>
    <row r="786" spans="1:39" ht="94.5" customHeight="1">
      <c r="A786" s="22" t="s">
        <v>2209</v>
      </c>
      <c r="B786" s="814">
        <f>'ADMININSTRACIÓN DIR - OBRA'!B1059</f>
        <v>0</v>
      </c>
      <c r="C786" s="16">
        <f>OBRA!K791</f>
        <v>2024</v>
      </c>
      <c r="D786" s="17" t="str">
        <f>OBRA!N791</f>
        <v>CUENTA CORRIENTE</v>
      </c>
      <c r="E786" s="479" t="s">
        <v>1427</v>
      </c>
      <c r="F786" s="163"/>
      <c r="G786" s="511"/>
      <c r="H786" s="163"/>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6774</v>
      </c>
      <c r="O786" s="2003" t="s">
        <v>6862</v>
      </c>
      <c r="P786" s="6">
        <f>OBRA!T791</f>
        <v>45463</v>
      </c>
      <c r="Q786" s="4">
        <f>OBRA!S791</f>
        <v>31180.799999999999</v>
      </c>
      <c r="R786" s="79" t="s">
        <v>6745</v>
      </c>
      <c r="S786" s="5">
        <f>OBRA!U791</f>
        <v>45464</v>
      </c>
      <c r="T786" s="11">
        <f>OBRA!V791</f>
        <v>45470</v>
      </c>
      <c r="U786" s="208" t="s">
        <v>5624</v>
      </c>
      <c r="V786" s="378" t="s">
        <v>1427</v>
      </c>
      <c r="W786" s="538"/>
      <c r="X786" s="438"/>
      <c r="Y786" s="1005" t="s">
        <v>1176</v>
      </c>
      <c r="Z786" s="310"/>
      <c r="AA786" s="310"/>
      <c r="AB786" s="5"/>
      <c r="AC786" s="318">
        <f>OBRA!BX791</f>
        <v>0</v>
      </c>
      <c r="AD786" s="353"/>
      <c r="AF786"/>
      <c r="AG786"/>
      <c r="AH786"/>
      <c r="AI786"/>
      <c r="AJ786"/>
      <c r="AK786"/>
      <c r="AL786"/>
      <c r="AM786"/>
    </row>
    <row r="787" spans="1:39" ht="143.25" customHeight="1">
      <c r="A787" s="22" t="s">
        <v>2209</v>
      </c>
      <c r="B787" s="814">
        <f>'ADMININSTRACIÓN DIR - OBRA'!B1060</f>
        <v>0</v>
      </c>
      <c r="C787" s="16">
        <f>OBRA!K792</f>
        <v>2024</v>
      </c>
      <c r="D787" s="17" t="str">
        <f>OBRA!N792</f>
        <v>CUENTA CORRIENTE</v>
      </c>
      <c r="E787" s="479" t="s">
        <v>1427</v>
      </c>
      <c r="F787" s="163"/>
      <c r="G787" s="511"/>
      <c r="H787" s="163"/>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6774</v>
      </c>
      <c r="O787" s="2003"/>
      <c r="P787" s="6">
        <f>OBRA!T792</f>
        <v>45502</v>
      </c>
      <c r="Q787" s="4">
        <f>OBRA!S792</f>
        <v>205842</v>
      </c>
      <c r="R787" s="79" t="s">
        <v>67</v>
      </c>
      <c r="S787" s="5">
        <f>OBRA!U792</f>
        <v>45503</v>
      </c>
      <c r="T787" s="11">
        <f>OBRA!V792</f>
        <v>45517</v>
      </c>
      <c r="U787" s="208" t="s">
        <v>5624</v>
      </c>
      <c r="V787" s="378" t="s">
        <v>1427</v>
      </c>
      <c r="W787" s="538"/>
      <c r="X787" s="438"/>
      <c r="Y787" s="1005" t="s">
        <v>1176</v>
      </c>
      <c r="Z787" s="310"/>
      <c r="AA787" s="310"/>
      <c r="AB787" s="5"/>
      <c r="AC787" s="318">
        <f>OBRA!BX792</f>
        <v>0</v>
      </c>
      <c r="AD787" s="353"/>
      <c r="AF787"/>
      <c r="AG787"/>
      <c r="AH787"/>
      <c r="AI787"/>
      <c r="AJ787"/>
      <c r="AK787"/>
      <c r="AL787"/>
      <c r="AM787"/>
    </row>
    <row r="788" spans="1:39" ht="114" customHeight="1">
      <c r="A788" s="22" t="s">
        <v>2209</v>
      </c>
      <c r="B788" s="814">
        <f>'ADMININSTRACIÓN DIR - OBRA'!B1061</f>
        <v>0</v>
      </c>
      <c r="C788" s="16">
        <f>OBRA!K793</f>
        <v>2024</v>
      </c>
      <c r="D788" s="17" t="str">
        <f>OBRA!N793</f>
        <v>CUENTA CORRIENTE</v>
      </c>
      <c r="E788" s="479" t="s">
        <v>1427</v>
      </c>
      <c r="F788" s="497" t="s">
        <v>4590</v>
      </c>
      <c r="G788" s="496" t="s">
        <v>4590</v>
      </c>
      <c r="H788" s="163"/>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6774</v>
      </c>
      <c r="O788" s="2003" t="s">
        <v>6863</v>
      </c>
      <c r="P788" s="6">
        <f>OBRA!T793</f>
        <v>45520</v>
      </c>
      <c r="Q788" s="4">
        <f>OBRA!S793</f>
        <v>28419.999999999996</v>
      </c>
      <c r="R788" s="79" t="s">
        <v>67</v>
      </c>
      <c r="S788" s="5">
        <f>OBRA!U793</f>
        <v>45524</v>
      </c>
      <c r="T788" s="11">
        <f>OBRA!V793</f>
        <v>45530</v>
      </c>
      <c r="U788" s="208" t="s">
        <v>5624</v>
      </c>
      <c r="V788" s="378" t="s">
        <v>1427</v>
      </c>
      <c r="W788" s="500" t="s">
        <v>4590</v>
      </c>
      <c r="X788" s="589" t="s">
        <v>4590</v>
      </c>
      <c r="Y788" s="1005" t="s">
        <v>1176</v>
      </c>
      <c r="Z788" s="310"/>
      <c r="AA788" s="310"/>
      <c r="AB788" s="5"/>
      <c r="AC788" s="318">
        <f>OBRA!BX793</f>
        <v>0</v>
      </c>
      <c r="AD788" s="353"/>
      <c r="AF788"/>
      <c r="AG788"/>
      <c r="AH788"/>
      <c r="AI788"/>
      <c r="AJ788"/>
      <c r="AK788"/>
      <c r="AL788"/>
      <c r="AM788"/>
    </row>
    <row r="789" spans="1:39" ht="66.75" customHeight="1">
      <c r="A789" s="22" t="s">
        <v>2209</v>
      </c>
      <c r="B789" s="814">
        <f>'ADMININSTRACIÓN DIR - OBRA'!B1062</f>
        <v>0</v>
      </c>
      <c r="C789" s="16">
        <f>OBRA!K794</f>
        <v>2024</v>
      </c>
      <c r="D789" s="17" t="str">
        <f>OBRA!N794</f>
        <v>CUENTA CORRIENTE</v>
      </c>
      <c r="E789" s="479" t="s">
        <v>1427</v>
      </c>
      <c r="F789" s="163"/>
      <c r="G789" s="496" t="s">
        <v>6524</v>
      </c>
      <c r="H789" s="163"/>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6774</v>
      </c>
      <c r="O789" s="2003" t="s">
        <v>6864</v>
      </c>
      <c r="P789" s="6">
        <f>OBRA!T794</f>
        <v>45520</v>
      </c>
      <c r="Q789" s="4">
        <f>OBRA!S794</f>
        <v>13919.999999999998</v>
      </c>
      <c r="R789" s="79" t="s">
        <v>67</v>
      </c>
      <c r="S789" s="5">
        <f>OBRA!U794</f>
        <v>45523</v>
      </c>
      <c r="T789" s="11">
        <f>OBRA!V794</f>
        <v>45524</v>
      </c>
      <c r="U789" s="208" t="s">
        <v>5624</v>
      </c>
      <c r="V789" s="378" t="s">
        <v>1427</v>
      </c>
      <c r="W789" s="538"/>
      <c r="X789" s="206" t="s">
        <v>1427</v>
      </c>
      <c r="Y789" s="1005" t="s">
        <v>1176</v>
      </c>
      <c r="Z789" s="310"/>
      <c r="AA789" s="310"/>
      <c r="AB789" s="5"/>
      <c r="AC789" s="318">
        <f>OBRA!BX794</f>
        <v>0</v>
      </c>
      <c r="AD789" s="353"/>
      <c r="AF789"/>
      <c r="AG789"/>
      <c r="AH789"/>
      <c r="AI789"/>
      <c r="AJ789"/>
      <c r="AK789"/>
      <c r="AL789"/>
      <c r="AM789"/>
    </row>
    <row r="790" spans="1:39" ht="130.5" customHeight="1">
      <c r="A790" s="22" t="s">
        <v>2209</v>
      </c>
      <c r="B790" s="814">
        <f>'ADMININSTRACIÓN DIR - OBRA'!B1063</f>
        <v>0</v>
      </c>
      <c r="C790" s="16">
        <f>OBRA!K795</f>
        <v>2024</v>
      </c>
      <c r="D790" s="17" t="str">
        <f>OBRA!N795</f>
        <v>CUENTA CORRIENTE</v>
      </c>
      <c r="E790" s="479" t="s">
        <v>1427</v>
      </c>
      <c r="F790" s="163"/>
      <c r="G790" s="511"/>
      <c r="H790" s="163"/>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6774</v>
      </c>
      <c r="O790" s="2003" t="s">
        <v>6862</v>
      </c>
      <c r="P790" s="6">
        <f>OBRA!T795</f>
        <v>45533</v>
      </c>
      <c r="Q790" s="4">
        <f>OBRA!S795</f>
        <v>32479.999999999996</v>
      </c>
      <c r="R790" s="79" t="s">
        <v>67</v>
      </c>
      <c r="S790" s="5">
        <f>OBRA!U795</f>
        <v>45537</v>
      </c>
      <c r="T790" s="11">
        <f>OBRA!V795</f>
        <v>45538</v>
      </c>
      <c r="U790" s="208" t="s">
        <v>5624</v>
      </c>
      <c r="V790" s="378" t="s">
        <v>1427</v>
      </c>
      <c r="W790" s="538"/>
      <c r="X790" s="438"/>
      <c r="Y790" s="1005" t="s">
        <v>1176</v>
      </c>
      <c r="Z790" s="310"/>
      <c r="AA790" s="310"/>
      <c r="AB790" s="5"/>
      <c r="AC790" s="318">
        <f>OBRA!BX795</f>
        <v>0</v>
      </c>
      <c r="AD790" s="353"/>
      <c r="AF790"/>
      <c r="AG790"/>
      <c r="AH790"/>
      <c r="AI790"/>
      <c r="AJ790"/>
      <c r="AK790"/>
      <c r="AL790"/>
      <c r="AM790"/>
    </row>
    <row r="791" spans="1:39" ht="135" customHeight="1">
      <c r="A791" s="22" t="s">
        <v>2209</v>
      </c>
      <c r="B791" s="814">
        <f>'ADMININSTRACIÓN DIR - OBRA'!B1064</f>
        <v>0</v>
      </c>
      <c r="C791" s="16">
        <f>OBRA!K796</f>
        <v>2024</v>
      </c>
      <c r="D791" s="17" t="str">
        <f>OBRA!N796</f>
        <v>CUENTA CORRIENTE</v>
      </c>
      <c r="E791" s="479" t="s">
        <v>1427</v>
      </c>
      <c r="F791" s="497" t="s">
        <v>6168</v>
      </c>
      <c r="G791" s="496" t="s">
        <v>6168</v>
      </c>
      <c r="H791" s="163"/>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6774</v>
      </c>
      <c r="O791" s="2003" t="s">
        <v>6848</v>
      </c>
      <c r="P791" s="6">
        <f>OBRA!T796</f>
        <v>45533</v>
      </c>
      <c r="Q791" s="4">
        <f>OBRA!S796</f>
        <v>30125.199999999997</v>
      </c>
      <c r="R791" s="79" t="s">
        <v>67</v>
      </c>
      <c r="S791" s="5">
        <f>OBRA!U796</f>
        <v>45539</v>
      </c>
      <c r="T791" s="11">
        <f>OBRA!V796</f>
        <v>45540</v>
      </c>
      <c r="U791" s="208" t="s">
        <v>5624</v>
      </c>
      <c r="V791" s="378" t="s">
        <v>1427</v>
      </c>
      <c r="W791" s="500" t="s">
        <v>6168</v>
      </c>
      <c r="X791" s="589" t="s">
        <v>6168</v>
      </c>
      <c r="Y791" s="1005" t="s">
        <v>1176</v>
      </c>
      <c r="Z791" s="310"/>
      <c r="AA791" s="310"/>
      <c r="AB791" s="5"/>
      <c r="AC791" s="318">
        <f>OBRA!BX796</f>
        <v>0</v>
      </c>
      <c r="AD791" s="353"/>
      <c r="AF791"/>
      <c r="AG791"/>
      <c r="AH791"/>
      <c r="AI791"/>
      <c r="AJ791"/>
      <c r="AK791"/>
      <c r="AL791"/>
      <c r="AM791"/>
    </row>
    <row r="792" spans="1:39" ht="76.5" customHeight="1">
      <c r="A792" s="22" t="s">
        <v>2209</v>
      </c>
      <c r="B792" s="814">
        <f>'ADMININSTRACIÓN DIR - OBRA'!B1066</f>
        <v>0</v>
      </c>
      <c r="C792" s="16">
        <f>OBRA!K797</f>
        <v>2024</v>
      </c>
      <c r="D792" s="17" t="str">
        <f>OBRA!N797</f>
        <v>CUENTA CORRIENTE</v>
      </c>
      <c r="E792" s="479" t="s">
        <v>1427</v>
      </c>
      <c r="F792" s="163"/>
      <c r="G792" s="511"/>
      <c r="H792" s="163"/>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6775</v>
      </c>
      <c r="O792" s="2003" t="s">
        <v>6856</v>
      </c>
      <c r="P792" s="6">
        <f>OBRA!T797</f>
        <v>45341</v>
      </c>
      <c r="Q792" s="4">
        <f>OBRA!S797</f>
        <v>3943.9999999999995</v>
      </c>
      <c r="R792" s="79" t="s">
        <v>2297</v>
      </c>
      <c r="S792" s="5">
        <f>OBRA!U797</f>
        <v>45343</v>
      </c>
      <c r="T792" s="11">
        <f>OBRA!V797</f>
        <v>45349</v>
      </c>
      <c r="U792" s="208" t="s">
        <v>5624</v>
      </c>
      <c r="V792" s="378" t="s">
        <v>1427</v>
      </c>
      <c r="W792" s="538"/>
      <c r="X792" s="438"/>
      <c r="Y792" s="1005" t="s">
        <v>1176</v>
      </c>
      <c r="Z792" s="310"/>
      <c r="AA792" s="310"/>
      <c r="AB792" s="5"/>
      <c r="AC792" s="318">
        <f>OBRA!BX797</f>
        <v>0</v>
      </c>
      <c r="AD792" s="353"/>
      <c r="AF792"/>
      <c r="AG792"/>
      <c r="AH792"/>
      <c r="AI792"/>
      <c r="AJ792"/>
      <c r="AK792"/>
      <c r="AL792"/>
      <c r="AM792"/>
    </row>
    <row r="793" spans="1:39" ht="93" customHeight="1">
      <c r="A793" s="22" t="s">
        <v>2209</v>
      </c>
      <c r="B793" s="814">
        <f>'ADMININSTRACIÓN DIR - OBRA'!B1067</f>
        <v>0</v>
      </c>
      <c r="C793" s="16">
        <f>OBRA!K798</f>
        <v>2024</v>
      </c>
      <c r="D793" s="17" t="str">
        <f>OBRA!N798</f>
        <v>CUENTA CORRIENTE</v>
      </c>
      <c r="E793" s="479" t="s">
        <v>1427</v>
      </c>
      <c r="F793" s="163"/>
      <c r="G793" s="511"/>
      <c r="H793" s="163"/>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6775</v>
      </c>
      <c r="O793" s="2003" t="s">
        <v>6856</v>
      </c>
      <c r="P793" s="6">
        <f>OBRA!T798</f>
        <v>45345</v>
      </c>
      <c r="Q793" s="4">
        <f>OBRA!S798</f>
        <v>2204</v>
      </c>
      <c r="R793" s="79" t="s">
        <v>2297</v>
      </c>
      <c r="S793" s="5">
        <f>OBRA!U798</f>
        <v>45348</v>
      </c>
      <c r="T793" s="11">
        <f>OBRA!V798</f>
        <v>45350</v>
      </c>
      <c r="U793" s="208" t="s">
        <v>5624</v>
      </c>
      <c r="V793" s="378" t="s">
        <v>1427</v>
      </c>
      <c r="W793" s="538"/>
      <c r="X793" s="438"/>
      <c r="Y793" s="1005" t="s">
        <v>1176</v>
      </c>
      <c r="Z793" s="310"/>
      <c r="AA793" s="310"/>
      <c r="AB793" s="5"/>
      <c r="AC793" s="318">
        <f>OBRA!BX798</f>
        <v>0</v>
      </c>
      <c r="AD793" s="353"/>
      <c r="AF793"/>
      <c r="AG793"/>
      <c r="AH793"/>
      <c r="AI793"/>
      <c r="AJ793"/>
      <c r="AK793"/>
      <c r="AL793"/>
      <c r="AM793"/>
    </row>
    <row r="794" spans="1:39" ht="93.75" customHeight="1">
      <c r="A794" s="22" t="s">
        <v>2209</v>
      </c>
      <c r="B794" s="814">
        <f>'ADMININSTRACIÓN DIR - OBRA'!B1068</f>
        <v>0</v>
      </c>
      <c r="C794" s="16">
        <f>OBRA!K799</f>
        <v>2024</v>
      </c>
      <c r="D794" s="17" t="str">
        <f>OBRA!N799</f>
        <v>CUENTA CORRIENTE</v>
      </c>
      <c r="E794" s="479" t="s">
        <v>1427</v>
      </c>
      <c r="F794" s="163"/>
      <c r="G794" s="511"/>
      <c r="H794" s="163"/>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6775</v>
      </c>
      <c r="O794" s="2003" t="s">
        <v>6856</v>
      </c>
      <c r="P794" s="6">
        <f>OBRA!T799</f>
        <v>45345</v>
      </c>
      <c r="Q794" s="4">
        <f>OBRA!S799</f>
        <v>696</v>
      </c>
      <c r="R794" s="79" t="s">
        <v>2297</v>
      </c>
      <c r="S794" s="5">
        <f>OBRA!U799</f>
        <v>45348</v>
      </c>
      <c r="T794" s="11">
        <f>OBRA!V799</f>
        <v>45353</v>
      </c>
      <c r="U794" s="208" t="s">
        <v>5624</v>
      </c>
      <c r="V794" s="378" t="s">
        <v>1427</v>
      </c>
      <c r="W794" s="538"/>
      <c r="X794" s="438"/>
      <c r="Y794" s="1005" t="s">
        <v>1176</v>
      </c>
      <c r="Z794" s="310"/>
      <c r="AA794" s="310"/>
      <c r="AB794" s="5"/>
      <c r="AC794" s="318">
        <f>OBRA!BX799</f>
        <v>0</v>
      </c>
      <c r="AD794" s="353"/>
      <c r="AF794"/>
      <c r="AG794"/>
      <c r="AH794"/>
      <c r="AI794"/>
      <c r="AJ794"/>
      <c r="AK794"/>
      <c r="AL794"/>
      <c r="AM794"/>
    </row>
    <row r="795" spans="1:39" ht="83.25" customHeight="1">
      <c r="A795" s="22" t="s">
        <v>2209</v>
      </c>
      <c r="B795" s="814">
        <f>'ADMININSTRACIÓN DIR - OBRA'!B1069</f>
        <v>0</v>
      </c>
      <c r="C795" s="16">
        <f>OBRA!K800</f>
        <v>2024</v>
      </c>
      <c r="D795" s="17" t="str">
        <f>OBRA!N800</f>
        <v>CUENTA CORRIENTE</v>
      </c>
      <c r="E795" s="479" t="s">
        <v>1427</v>
      </c>
      <c r="F795" s="163"/>
      <c r="G795" s="511"/>
      <c r="H795" s="163"/>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6775</v>
      </c>
      <c r="O795" s="2003" t="s">
        <v>6856</v>
      </c>
      <c r="P795" s="6">
        <f>OBRA!T800</f>
        <v>45363</v>
      </c>
      <c r="Q795" s="4">
        <f>OBRA!S800</f>
        <v>4292</v>
      </c>
      <c r="R795" s="79" t="s">
        <v>6747</v>
      </c>
      <c r="S795" s="5">
        <f>OBRA!U800</f>
        <v>45365</v>
      </c>
      <c r="T795" s="11">
        <f>OBRA!V800</f>
        <v>45372</v>
      </c>
      <c r="U795" s="208" t="s">
        <v>5624</v>
      </c>
      <c r="V795" s="378" t="s">
        <v>1427</v>
      </c>
      <c r="W795" s="538"/>
      <c r="X795" s="438"/>
      <c r="Y795" s="1005" t="s">
        <v>1176</v>
      </c>
      <c r="Z795" s="310"/>
      <c r="AA795" s="310"/>
      <c r="AB795" s="5"/>
      <c r="AC795" s="318">
        <f>OBRA!BX800</f>
        <v>0</v>
      </c>
      <c r="AD795" s="353"/>
      <c r="AF795"/>
      <c r="AG795"/>
      <c r="AH795"/>
      <c r="AI795"/>
      <c r="AJ795"/>
      <c r="AK795"/>
      <c r="AL795"/>
      <c r="AM795"/>
    </row>
    <row r="796" spans="1:39" ht="80.25" customHeight="1">
      <c r="A796" s="22" t="s">
        <v>2209</v>
      </c>
      <c r="B796" s="814">
        <f>'ADMININSTRACIÓN DIR - OBRA'!B1070</f>
        <v>0</v>
      </c>
      <c r="C796" s="16">
        <f>OBRA!K801</f>
        <v>2024</v>
      </c>
      <c r="D796" s="17" t="str">
        <f>OBRA!N801</f>
        <v>CUENTA CORRIENTE</v>
      </c>
      <c r="E796" s="479" t="s">
        <v>1427</v>
      </c>
      <c r="F796" s="163"/>
      <c r="G796" s="511"/>
      <c r="H796" s="163"/>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6775</v>
      </c>
      <c r="O796" s="2003" t="s">
        <v>6856</v>
      </c>
      <c r="P796" s="6">
        <f>OBRA!T801</f>
        <v>45362</v>
      </c>
      <c r="Q796" s="4">
        <f>OBRA!S801</f>
        <v>3711.9999999999995</v>
      </c>
      <c r="R796" s="79" t="s">
        <v>2297</v>
      </c>
      <c r="S796" s="5">
        <f>OBRA!U801</f>
        <v>45363</v>
      </c>
      <c r="T796" s="11">
        <f>OBRA!V801</f>
        <v>45367</v>
      </c>
      <c r="U796" s="208" t="s">
        <v>5624</v>
      </c>
      <c r="V796" s="378" t="s">
        <v>1427</v>
      </c>
      <c r="W796" s="538"/>
      <c r="X796" s="438"/>
      <c r="Y796" s="1005" t="s">
        <v>1176</v>
      </c>
      <c r="Z796" s="310"/>
      <c r="AA796" s="310"/>
      <c r="AB796" s="5"/>
      <c r="AC796" s="318">
        <f>OBRA!BX801</f>
        <v>0</v>
      </c>
      <c r="AD796" s="353"/>
      <c r="AF796"/>
      <c r="AG796"/>
      <c r="AH796"/>
      <c r="AI796"/>
      <c r="AJ796"/>
      <c r="AK796"/>
      <c r="AL796"/>
      <c r="AM796"/>
    </row>
    <row r="797" spans="1:39" ht="76.5" customHeight="1">
      <c r="A797" s="22" t="s">
        <v>2209</v>
      </c>
      <c r="B797" s="814">
        <f>'ADMININSTRACIÓN DIR - OBRA'!B1071</f>
        <v>0</v>
      </c>
      <c r="C797" s="16">
        <f>OBRA!K802</f>
        <v>2024</v>
      </c>
      <c r="D797" s="17" t="str">
        <f>OBRA!N802</f>
        <v>CUENTA CORRIENTE</v>
      </c>
      <c r="E797" s="479" t="s">
        <v>1427</v>
      </c>
      <c r="F797" s="163"/>
      <c r="G797" s="511"/>
      <c r="H797" s="163"/>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6775</v>
      </c>
      <c r="O797" s="2003" t="s">
        <v>6857</v>
      </c>
      <c r="P797" s="6">
        <f>OBRA!T802</f>
        <v>45352</v>
      </c>
      <c r="Q797" s="4">
        <f>OBRA!S802</f>
        <v>1971.9999999999998</v>
      </c>
      <c r="R797" s="79" t="s">
        <v>5594</v>
      </c>
      <c r="S797" s="5">
        <f>OBRA!U802</f>
        <v>45352</v>
      </c>
      <c r="T797" s="11">
        <f>OBRA!V802</f>
        <v>45381</v>
      </c>
      <c r="U797" s="208" t="s">
        <v>5624</v>
      </c>
      <c r="V797" s="378" t="s">
        <v>1427</v>
      </c>
      <c r="W797" s="538"/>
      <c r="X797" s="438"/>
      <c r="Y797" s="1005" t="s">
        <v>1176</v>
      </c>
      <c r="Z797" s="310"/>
      <c r="AA797" s="310"/>
      <c r="AB797" s="5"/>
      <c r="AC797" s="318">
        <f>OBRA!BX802</f>
        <v>0</v>
      </c>
      <c r="AD797" s="353"/>
      <c r="AF797"/>
      <c r="AG797"/>
      <c r="AH797"/>
      <c r="AI797"/>
      <c r="AJ797"/>
      <c r="AK797"/>
      <c r="AL797"/>
      <c r="AM797"/>
    </row>
    <row r="798" spans="1:39" ht="63" customHeight="1">
      <c r="A798" s="22" t="s">
        <v>2209</v>
      </c>
      <c r="B798" s="814">
        <f>'ADMININSTRACIÓN DIR - OBRA'!B1072</f>
        <v>0</v>
      </c>
      <c r="C798" s="16">
        <f>OBRA!K803</f>
        <v>2024</v>
      </c>
      <c r="D798" s="17" t="str">
        <f>OBRA!N803</f>
        <v>CUENTA CORRIENTE</v>
      </c>
      <c r="E798" s="479" t="s">
        <v>1427</v>
      </c>
      <c r="F798" s="163"/>
      <c r="G798" s="511"/>
      <c r="H798" s="163"/>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6775</v>
      </c>
      <c r="O798" s="2003" t="s">
        <v>6856</v>
      </c>
      <c r="P798" s="6">
        <f>OBRA!T803</f>
        <v>45378</v>
      </c>
      <c r="Q798" s="4">
        <f>OBRA!S803</f>
        <v>1508</v>
      </c>
      <c r="R798" s="79" t="s">
        <v>2297</v>
      </c>
      <c r="S798" s="5">
        <f>OBRA!U803</f>
        <v>45383</v>
      </c>
      <c r="T798" s="11">
        <f>OBRA!V803</f>
        <v>45412</v>
      </c>
      <c r="U798" s="208" t="s">
        <v>5624</v>
      </c>
      <c r="V798" s="378" t="s">
        <v>1427</v>
      </c>
      <c r="W798" s="538"/>
      <c r="X798" s="438"/>
      <c r="Y798" s="1005" t="s">
        <v>1176</v>
      </c>
      <c r="Z798" s="310"/>
      <c r="AA798" s="310"/>
      <c r="AB798" s="5"/>
      <c r="AC798" s="318">
        <f>OBRA!BX803</f>
        <v>0</v>
      </c>
      <c r="AD798" s="353"/>
      <c r="AF798"/>
      <c r="AG798"/>
      <c r="AH798"/>
      <c r="AI798"/>
      <c r="AJ798"/>
      <c r="AK798"/>
      <c r="AL798"/>
      <c r="AM798"/>
    </row>
    <row r="799" spans="1:39" ht="71.25" customHeight="1">
      <c r="A799" s="22" t="s">
        <v>2209</v>
      </c>
      <c r="B799" s="814">
        <f>'ADMININSTRACIÓN DIR - OBRA'!B1073</f>
        <v>0</v>
      </c>
      <c r="C799" s="16">
        <f>OBRA!K804</f>
        <v>2024</v>
      </c>
      <c r="D799" s="17" t="str">
        <f>OBRA!N804</f>
        <v>CUENTA CORRIENTE</v>
      </c>
      <c r="E799" s="479" t="s">
        <v>1427</v>
      </c>
      <c r="F799" s="163"/>
      <c r="G799" s="511"/>
      <c r="H799" s="163"/>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6775</v>
      </c>
      <c r="O799" s="2003" t="s">
        <v>6857</v>
      </c>
      <c r="P799" s="6">
        <f>OBRA!T804</f>
        <v>45394</v>
      </c>
      <c r="Q799" s="4">
        <f>OBRA!S804</f>
        <v>4640</v>
      </c>
      <c r="R799" s="79" t="s">
        <v>5594</v>
      </c>
      <c r="S799" s="5">
        <f>OBRA!U804</f>
        <v>45397</v>
      </c>
      <c r="T799" s="11">
        <f>OBRA!V804</f>
        <v>45401</v>
      </c>
      <c r="U799" s="208" t="s">
        <v>5624</v>
      </c>
      <c r="V799" s="378" t="s">
        <v>1427</v>
      </c>
      <c r="W799" s="538"/>
      <c r="X799" s="438"/>
      <c r="Y799" s="1005" t="s">
        <v>1176</v>
      </c>
      <c r="Z799" s="310"/>
      <c r="AA799" s="310"/>
      <c r="AB799" s="5"/>
      <c r="AC799" s="318">
        <f>OBRA!BX804</f>
        <v>0</v>
      </c>
      <c r="AD799" s="353"/>
      <c r="AF799"/>
      <c r="AG799"/>
      <c r="AH799"/>
      <c r="AI799"/>
      <c r="AJ799"/>
      <c r="AK799"/>
      <c r="AL799"/>
      <c r="AM799"/>
    </row>
    <row r="800" spans="1:39" ht="115.5" customHeight="1">
      <c r="A800" s="22" t="s">
        <v>2209</v>
      </c>
      <c r="B800" s="814">
        <f>'ADMININSTRACIÓN DIR - OBRA'!B1074</f>
        <v>0</v>
      </c>
      <c r="C800" s="16">
        <f>OBRA!K805</f>
        <v>2024</v>
      </c>
      <c r="D800" s="17" t="str">
        <f>OBRA!N805</f>
        <v>CUENTA CORRIENTE</v>
      </c>
      <c r="E800" s="479" t="s">
        <v>1427</v>
      </c>
      <c r="F800" s="163"/>
      <c r="G800" s="511"/>
      <c r="H800" s="163"/>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6775</v>
      </c>
      <c r="O800" s="2003" t="s">
        <v>6856</v>
      </c>
      <c r="P800" s="6">
        <f>OBRA!T805</f>
        <v>45352</v>
      </c>
      <c r="Q800" s="4">
        <f>OBRA!S805</f>
        <v>788.8</v>
      </c>
      <c r="R800" s="79" t="s">
        <v>2297</v>
      </c>
      <c r="S800" s="5">
        <f>OBRA!U805</f>
        <v>45352</v>
      </c>
      <c r="T800" s="11">
        <f>OBRA!V805</f>
        <v>45443</v>
      </c>
      <c r="U800" s="208" t="s">
        <v>5624</v>
      </c>
      <c r="V800" s="378" t="s">
        <v>1427</v>
      </c>
      <c r="W800" s="538"/>
      <c r="X800" s="438"/>
      <c r="Y800" s="1005" t="s">
        <v>1176</v>
      </c>
      <c r="Z800" s="310"/>
      <c r="AA800" s="310"/>
      <c r="AB800" s="5"/>
      <c r="AC800" s="318">
        <f>OBRA!BX805</f>
        <v>0</v>
      </c>
      <c r="AD800" s="353"/>
      <c r="AF800"/>
      <c r="AG800"/>
      <c r="AH800"/>
      <c r="AI800"/>
      <c r="AJ800"/>
      <c r="AK800"/>
      <c r="AL800"/>
      <c r="AM800"/>
    </row>
    <row r="801" spans="1:39" ht="103.5" customHeight="1">
      <c r="A801" s="22" t="s">
        <v>2209</v>
      </c>
      <c r="B801" s="814">
        <f>'ADMININSTRACIÓN DIR - OBRA'!B1075</f>
        <v>0</v>
      </c>
      <c r="C801" s="16">
        <f>OBRA!K806</f>
        <v>2024</v>
      </c>
      <c r="D801" s="17" t="str">
        <f>OBRA!N806</f>
        <v>CUENTA CORRIENTE</v>
      </c>
      <c r="E801" s="479" t="s">
        <v>1427</v>
      </c>
      <c r="F801" s="163"/>
      <c r="G801" s="511"/>
      <c r="H801" s="163"/>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6775</v>
      </c>
      <c r="O801" s="2003" t="s">
        <v>6856</v>
      </c>
      <c r="P801" s="6">
        <f>OBRA!T806</f>
        <v>45420</v>
      </c>
      <c r="Q801" s="4">
        <f>OBRA!S806</f>
        <v>1482.4799999999998</v>
      </c>
      <c r="R801" s="79" t="s">
        <v>2465</v>
      </c>
      <c r="S801" s="5">
        <f>OBRA!U806</f>
        <v>45422</v>
      </c>
      <c r="T801" s="11">
        <f>OBRA!V806</f>
        <v>45423</v>
      </c>
      <c r="U801" s="208" t="s">
        <v>5624</v>
      </c>
      <c r="V801" s="378" t="s">
        <v>1427</v>
      </c>
      <c r="W801" s="538"/>
      <c r="X801" s="438"/>
      <c r="Y801" s="1005" t="s">
        <v>1176</v>
      </c>
      <c r="Z801" s="310"/>
      <c r="AA801" s="310"/>
      <c r="AB801" s="5"/>
      <c r="AC801" s="318">
        <f>OBRA!BX806</f>
        <v>0</v>
      </c>
      <c r="AD801" s="353"/>
      <c r="AF801"/>
      <c r="AG801"/>
      <c r="AH801"/>
      <c r="AI801"/>
      <c r="AJ801"/>
      <c r="AK801"/>
      <c r="AL801"/>
      <c r="AM801"/>
    </row>
    <row r="802" spans="1:39" ht="79.5" customHeight="1">
      <c r="A802" s="22" t="s">
        <v>2209</v>
      </c>
      <c r="B802" s="814">
        <f>'ADMININSTRACIÓN DIR - OBRA'!B1076</f>
        <v>0</v>
      </c>
      <c r="C802" s="16">
        <f>OBRA!K807</f>
        <v>2024</v>
      </c>
      <c r="D802" s="17" t="str">
        <f>OBRA!N807</f>
        <v>CUENTA CORRIENTE</v>
      </c>
      <c r="E802" s="479" t="s">
        <v>1427</v>
      </c>
      <c r="F802" s="163"/>
      <c r="G802" s="511"/>
      <c r="H802" s="163"/>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6776</v>
      </c>
      <c r="O802" s="2003" t="s">
        <v>6857</v>
      </c>
      <c r="P802" s="6">
        <f>OBRA!T807</f>
        <v>45425</v>
      </c>
      <c r="Q802" s="4">
        <f>OBRA!S807</f>
        <v>4640</v>
      </c>
      <c r="R802" s="79" t="s">
        <v>5594</v>
      </c>
      <c r="S802" s="5">
        <f>OBRA!U807</f>
        <v>45425</v>
      </c>
      <c r="T802" s="11">
        <f>OBRA!V807</f>
        <v>45430</v>
      </c>
      <c r="U802" s="208" t="s">
        <v>5624</v>
      </c>
      <c r="V802" s="378" t="s">
        <v>1427</v>
      </c>
      <c r="W802" s="538"/>
      <c r="X802" s="438"/>
      <c r="Y802" s="1005" t="s">
        <v>1176</v>
      </c>
      <c r="Z802" s="310"/>
      <c r="AA802" s="310"/>
      <c r="AB802" s="5"/>
      <c r="AC802" s="318">
        <f>OBRA!BX807</f>
        <v>0</v>
      </c>
      <c r="AD802" s="353"/>
      <c r="AF802"/>
      <c r="AG802"/>
      <c r="AH802"/>
      <c r="AI802"/>
      <c r="AJ802"/>
      <c r="AK802"/>
      <c r="AL802"/>
      <c r="AM802"/>
    </row>
    <row r="803" spans="1:39" ht="88.5" customHeight="1">
      <c r="A803" s="22" t="s">
        <v>2209</v>
      </c>
      <c r="B803" s="814">
        <f>'ADMININSTRACIÓN DIR - OBRA'!B1077</f>
        <v>0</v>
      </c>
      <c r="C803" s="16">
        <f>OBRA!K808</f>
        <v>2024</v>
      </c>
      <c r="D803" s="17" t="str">
        <f>OBRA!N808</f>
        <v>CUENTA CORRIENTE</v>
      </c>
      <c r="E803" s="479" t="s">
        <v>1427</v>
      </c>
      <c r="F803" s="163"/>
      <c r="G803" s="511"/>
      <c r="H803" s="163"/>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6776</v>
      </c>
      <c r="O803" s="2003" t="s">
        <v>6856</v>
      </c>
      <c r="P803" s="6">
        <f>OBRA!T808</f>
        <v>45372</v>
      </c>
      <c r="Q803" s="4">
        <f>OBRA!S808</f>
        <v>788.8</v>
      </c>
      <c r="R803" s="79" t="s">
        <v>2297</v>
      </c>
      <c r="S803" s="5">
        <f>OBRA!U808</f>
        <v>45372</v>
      </c>
      <c r="T803" s="11">
        <f>OBRA!V808</f>
        <v>45411</v>
      </c>
      <c r="U803" s="208" t="s">
        <v>5624</v>
      </c>
      <c r="V803" s="378" t="s">
        <v>1427</v>
      </c>
      <c r="W803" s="538"/>
      <c r="X803" s="438"/>
      <c r="Y803" s="1005" t="s">
        <v>1176</v>
      </c>
      <c r="Z803" s="310"/>
      <c r="AA803" s="310"/>
      <c r="AB803" s="5"/>
      <c r="AC803" s="318">
        <f>OBRA!BX808</f>
        <v>0</v>
      </c>
      <c r="AD803" s="353"/>
      <c r="AF803"/>
      <c r="AG803"/>
      <c r="AH803"/>
      <c r="AI803"/>
      <c r="AJ803"/>
      <c r="AK803"/>
      <c r="AL803"/>
      <c r="AM803"/>
    </row>
    <row r="804" spans="1:39" ht="126.75" customHeight="1">
      <c r="A804" s="22" t="s">
        <v>2209</v>
      </c>
      <c r="B804" s="814">
        <f>'ADMININSTRACIÓN DIR - OBRA'!B1078</f>
        <v>0</v>
      </c>
      <c r="C804" s="16">
        <f>OBRA!K809</f>
        <v>2024</v>
      </c>
      <c r="D804" s="17" t="str">
        <f>OBRA!N809</f>
        <v>CUENTA CORRIENTE</v>
      </c>
      <c r="E804" s="479" t="s">
        <v>1427</v>
      </c>
      <c r="F804" s="497" t="s">
        <v>6523</v>
      </c>
      <c r="G804" s="511"/>
      <c r="H804" s="163"/>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6776</v>
      </c>
      <c r="O804" s="2003" t="s">
        <v>6865</v>
      </c>
      <c r="P804" s="6">
        <f>OBRA!T809</f>
        <v>45432</v>
      </c>
      <c r="Q804" s="4">
        <f>OBRA!S809</f>
        <v>4605.2</v>
      </c>
      <c r="R804" s="79" t="s">
        <v>2297</v>
      </c>
      <c r="S804" s="5">
        <f>OBRA!U809</f>
        <v>45434</v>
      </c>
      <c r="T804" s="11">
        <f>OBRA!V809</f>
        <v>45478</v>
      </c>
      <c r="U804" s="208" t="s">
        <v>5624</v>
      </c>
      <c r="V804" s="62" t="s">
        <v>1427</v>
      </c>
      <c r="W804" s="500" t="s">
        <v>6523</v>
      </c>
      <c r="X804" s="206" t="s">
        <v>1427</v>
      </c>
      <c r="Y804" s="1005" t="s">
        <v>1176</v>
      </c>
      <c r="Z804" s="310"/>
      <c r="AA804" s="310"/>
      <c r="AB804" s="5"/>
      <c r="AC804" s="318">
        <f>OBRA!BX809</f>
        <v>0</v>
      </c>
      <c r="AD804" s="353"/>
      <c r="AF804"/>
      <c r="AG804"/>
      <c r="AH804"/>
      <c r="AI804"/>
      <c r="AJ804"/>
      <c r="AK804"/>
      <c r="AL804"/>
      <c r="AM804"/>
    </row>
    <row r="805" spans="1:39" ht="80.25" customHeight="1">
      <c r="A805" s="22" t="s">
        <v>2209</v>
      </c>
      <c r="B805" s="814">
        <f>'ADMININSTRACIÓN DIR - OBRA'!B1079</f>
        <v>0</v>
      </c>
      <c r="C805" s="16">
        <f>OBRA!K810</f>
        <v>2024</v>
      </c>
      <c r="D805" s="17" t="str">
        <f>OBRA!N810</f>
        <v>CUENTA CORRIENTE</v>
      </c>
      <c r="E805" s="479" t="s">
        <v>1427</v>
      </c>
      <c r="F805" s="163"/>
      <c r="G805" s="511"/>
      <c r="H805" s="163"/>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6776</v>
      </c>
      <c r="O805" s="2003" t="s">
        <v>6857</v>
      </c>
      <c r="P805" s="6">
        <f>OBRA!T810</f>
        <v>45380</v>
      </c>
      <c r="Q805" s="4">
        <f>OBRA!S810</f>
        <v>90828</v>
      </c>
      <c r="R805" s="79" t="s">
        <v>3957</v>
      </c>
      <c r="S805" s="5">
        <f>OBRA!U810</f>
        <v>45383</v>
      </c>
      <c r="T805" s="11">
        <f>OBRA!V810</f>
        <v>45412</v>
      </c>
      <c r="U805" s="208" t="s">
        <v>5624</v>
      </c>
      <c r="V805" s="378" t="s">
        <v>1427</v>
      </c>
      <c r="W805" s="538"/>
      <c r="X805" s="438"/>
      <c r="Y805" s="1005" t="s">
        <v>1176</v>
      </c>
      <c r="Z805" s="310"/>
      <c r="AA805" s="310"/>
      <c r="AB805" s="5"/>
      <c r="AC805" s="318">
        <f>OBRA!BX810</f>
        <v>0</v>
      </c>
      <c r="AD805" s="353"/>
      <c r="AF805"/>
      <c r="AG805"/>
      <c r="AH805"/>
      <c r="AI805"/>
      <c r="AJ805"/>
      <c r="AK805"/>
      <c r="AL805"/>
      <c r="AM805"/>
    </row>
    <row r="806" spans="1:39" ht="68.25" customHeight="1">
      <c r="A806" s="22" t="s">
        <v>2209</v>
      </c>
      <c r="B806" s="814">
        <f>'ADMININSTRACIÓN DIR - OBRA'!B1080</f>
        <v>0</v>
      </c>
      <c r="C806" s="16">
        <f>OBRA!K811</f>
        <v>2024</v>
      </c>
      <c r="D806" s="17" t="str">
        <f>OBRA!N811</f>
        <v>CUENTA CORRIENTE</v>
      </c>
      <c r="E806" s="479" t="s">
        <v>1427</v>
      </c>
      <c r="F806" s="163"/>
      <c r="G806" s="511"/>
      <c r="H806" s="163"/>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6776</v>
      </c>
      <c r="O806" s="2003" t="s">
        <v>6857</v>
      </c>
      <c r="P806" s="6">
        <f>OBRA!T811</f>
        <v>45412</v>
      </c>
      <c r="Q806" s="4">
        <f>OBRA!S811</f>
        <v>90828</v>
      </c>
      <c r="R806" s="79" t="s">
        <v>3957</v>
      </c>
      <c r="S806" s="5">
        <f>OBRA!U811</f>
        <v>45413</v>
      </c>
      <c r="T806" s="11">
        <f>OBRA!V811</f>
        <v>45443</v>
      </c>
      <c r="U806" s="208" t="s">
        <v>5624</v>
      </c>
      <c r="V806" s="378" t="s">
        <v>1427</v>
      </c>
      <c r="W806" s="538"/>
      <c r="X806" s="438"/>
      <c r="Y806" s="1005" t="s">
        <v>1176</v>
      </c>
      <c r="Z806" s="310"/>
      <c r="AA806" s="310"/>
      <c r="AB806" s="5"/>
      <c r="AC806" s="318">
        <f>OBRA!BX811</f>
        <v>0</v>
      </c>
      <c r="AD806" s="353"/>
      <c r="AF806"/>
      <c r="AG806"/>
      <c r="AH806"/>
      <c r="AI806"/>
      <c r="AJ806"/>
      <c r="AK806"/>
      <c r="AL806"/>
      <c r="AM806"/>
    </row>
    <row r="807" spans="1:39" ht="66.75" customHeight="1">
      <c r="A807" s="22" t="s">
        <v>2209</v>
      </c>
      <c r="B807" s="814">
        <f>'ADMININSTRACIÓN DIR - OBRA'!B1081</f>
        <v>0</v>
      </c>
      <c r="C807" s="16">
        <f>OBRA!K812</f>
        <v>2024</v>
      </c>
      <c r="D807" s="17" t="str">
        <f>OBRA!N812</f>
        <v>CUENTA CORRIENTE</v>
      </c>
      <c r="E807" s="479" t="s">
        <v>1427</v>
      </c>
      <c r="F807" s="163"/>
      <c r="G807" s="511"/>
      <c r="H807" s="163"/>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6776</v>
      </c>
      <c r="O807" s="2003" t="s">
        <v>6857</v>
      </c>
      <c r="P807" s="6">
        <f>OBRA!T812</f>
        <v>45443</v>
      </c>
      <c r="Q807" s="4">
        <f>OBRA!S812</f>
        <v>3711.9999999999995</v>
      </c>
      <c r="R807" s="79" t="s">
        <v>5594</v>
      </c>
      <c r="S807" s="5">
        <f>OBRA!U812</f>
        <v>45446</v>
      </c>
      <c r="T807" s="11">
        <f>OBRA!V812</f>
        <v>45453</v>
      </c>
      <c r="U807" s="208" t="s">
        <v>5624</v>
      </c>
      <c r="V807" s="378" t="s">
        <v>1427</v>
      </c>
      <c r="W807" s="538"/>
      <c r="X807" s="438"/>
      <c r="Y807" s="1005" t="s">
        <v>1176</v>
      </c>
      <c r="Z807" s="310"/>
      <c r="AA807" s="310"/>
      <c r="AB807" s="5"/>
      <c r="AC807" s="318">
        <f>OBRA!BX812</f>
        <v>0</v>
      </c>
      <c r="AD807" s="353"/>
      <c r="AF807"/>
      <c r="AG807"/>
      <c r="AH807"/>
      <c r="AI807"/>
      <c r="AJ807"/>
      <c r="AK807"/>
      <c r="AL807"/>
      <c r="AM807"/>
    </row>
    <row r="808" spans="1:39" ht="78.75" customHeight="1">
      <c r="A808" s="22" t="s">
        <v>2209</v>
      </c>
      <c r="B808" s="814">
        <f>'ADMININSTRACIÓN DIR - OBRA'!B1082</f>
        <v>0</v>
      </c>
      <c r="C808" s="16">
        <f>OBRA!K813</f>
        <v>2024</v>
      </c>
      <c r="D808" s="17" t="str">
        <f>OBRA!N813</f>
        <v>CUENTA CORRIENTE</v>
      </c>
      <c r="E808" s="479" t="s">
        <v>1427</v>
      </c>
      <c r="F808" s="497" t="s">
        <v>6523</v>
      </c>
      <c r="G808" s="511"/>
      <c r="H808" s="163"/>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6776</v>
      </c>
      <c r="O808" s="2003" t="s">
        <v>6865</v>
      </c>
      <c r="P808" s="6">
        <f>OBRA!T813</f>
        <v>45372</v>
      </c>
      <c r="Q808" s="4">
        <f>OBRA!S813</f>
        <v>696</v>
      </c>
      <c r="R808" s="79" t="s">
        <v>2297</v>
      </c>
      <c r="S808" s="5">
        <f>OBRA!U813</f>
        <v>45358</v>
      </c>
      <c r="T808" s="11">
        <f>OBRA!V813</f>
        <v>45363</v>
      </c>
      <c r="U808" s="208" t="s">
        <v>5624</v>
      </c>
      <c r="V808" s="62" t="s">
        <v>1427</v>
      </c>
      <c r="W808" s="500" t="s">
        <v>6523</v>
      </c>
      <c r="X808" s="206" t="s">
        <v>1427</v>
      </c>
      <c r="Y808" s="1005" t="s">
        <v>1176</v>
      </c>
      <c r="Z808" s="310"/>
      <c r="AA808" s="310"/>
      <c r="AB808" s="5"/>
      <c r="AC808" s="318">
        <f>OBRA!BX813</f>
        <v>0</v>
      </c>
      <c r="AD808" s="353"/>
      <c r="AF808"/>
      <c r="AG808"/>
      <c r="AH808"/>
      <c r="AI808"/>
      <c r="AJ808"/>
      <c r="AK808"/>
      <c r="AL808"/>
      <c r="AM808"/>
    </row>
    <row r="809" spans="1:39" ht="146.25" customHeight="1">
      <c r="A809" s="22" t="s">
        <v>2209</v>
      </c>
      <c r="B809" s="814">
        <f>'ADMININSTRACIÓN DIR - OBRA'!B1083</f>
        <v>0</v>
      </c>
      <c r="C809" s="16">
        <f>OBRA!K814</f>
        <v>2024</v>
      </c>
      <c r="D809" s="17" t="str">
        <f>OBRA!N814</f>
        <v>CUENTA CORRIENTE</v>
      </c>
      <c r="E809" s="479" t="s">
        <v>1427</v>
      </c>
      <c r="F809" s="497" t="s">
        <v>6522</v>
      </c>
      <c r="G809" s="496" t="s">
        <v>6522</v>
      </c>
      <c r="H809" s="163"/>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6776</v>
      </c>
      <c r="O809" s="2003" t="s">
        <v>6866</v>
      </c>
      <c r="P809" s="6">
        <f>OBRA!T814</f>
        <v>45415</v>
      </c>
      <c r="Q809" s="4">
        <f>OBRA!S814</f>
        <v>3329.2</v>
      </c>
      <c r="R809" s="79" t="s">
        <v>2297</v>
      </c>
      <c r="S809" s="5">
        <f>OBRA!U814</f>
        <v>45418</v>
      </c>
      <c r="T809" s="11">
        <f>OBRA!V814</f>
        <v>45437</v>
      </c>
      <c r="U809" s="208" t="s">
        <v>5624</v>
      </c>
      <c r="V809" s="62" t="s">
        <v>1427</v>
      </c>
      <c r="W809" s="500" t="s">
        <v>6522</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'ADMININSTRACIÓN DIR - OBRA'!B1084</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5624</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2209</v>
      </c>
      <c r="B811" s="814">
        <f>'ADMININSTRACIÓN DIR - OBRA'!B1085</f>
        <v>0</v>
      </c>
      <c r="C811" s="16">
        <f>OBRA!K816</f>
        <v>2024</v>
      </c>
      <c r="D811" s="17" t="str">
        <f>OBRA!N816</f>
        <v>CUENTA CORRIENTE</v>
      </c>
      <c r="E811" s="479" t="s">
        <v>1427</v>
      </c>
      <c r="F811" s="497" t="s">
        <v>6522</v>
      </c>
      <c r="G811" s="496" t="s">
        <v>6522</v>
      </c>
      <c r="H811" s="163"/>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6776</v>
      </c>
      <c r="O811" s="2003" t="s">
        <v>6866</v>
      </c>
      <c r="P811" s="6">
        <f>OBRA!T816</f>
        <v>45468</v>
      </c>
      <c r="Q811" s="4">
        <f>OBRA!S816</f>
        <v>2888.3999999999996</v>
      </c>
      <c r="R811" s="79" t="s">
        <v>2297</v>
      </c>
      <c r="S811" s="5">
        <f>OBRA!U816</f>
        <v>45469</v>
      </c>
      <c r="T811" s="11">
        <f>OBRA!V816</f>
        <v>45499</v>
      </c>
      <c r="U811" s="208" t="s">
        <v>5624</v>
      </c>
      <c r="V811" s="62" t="s">
        <v>1427</v>
      </c>
      <c r="W811" s="500" t="s">
        <v>6522</v>
      </c>
      <c r="X811" s="206" t="s">
        <v>1427</v>
      </c>
      <c r="Y811" s="1005" t="s">
        <v>1176</v>
      </c>
      <c r="Z811" s="310"/>
      <c r="AA811" s="310"/>
      <c r="AB811" s="5"/>
      <c r="AC811" s="318">
        <f>OBRA!BX816</f>
        <v>0</v>
      </c>
      <c r="AD811" s="353"/>
      <c r="AF811"/>
      <c r="AG811"/>
      <c r="AH811"/>
      <c r="AI811"/>
      <c r="AJ811"/>
      <c r="AK811"/>
      <c r="AL811"/>
      <c r="AM811"/>
    </row>
    <row r="812" spans="1:39" ht="121.5" customHeight="1">
      <c r="A812" s="22" t="s">
        <v>2209</v>
      </c>
      <c r="B812" s="814">
        <f>'ADMININSTRACIÓN DIR - OBRA'!B1086</f>
        <v>0</v>
      </c>
      <c r="C812" s="16">
        <f>OBRA!K817</f>
        <v>2024</v>
      </c>
      <c r="D812" s="17" t="str">
        <f>OBRA!N817</f>
        <v>CUENTA CORRIENTE</v>
      </c>
      <c r="E812" s="479" t="s">
        <v>1427</v>
      </c>
      <c r="F812" s="163"/>
      <c r="G812" s="511"/>
      <c r="H812" s="163"/>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6777</v>
      </c>
      <c r="O812" s="2003" t="s">
        <v>6856</v>
      </c>
      <c r="P812" s="6">
        <f>OBRA!T817</f>
        <v>45397</v>
      </c>
      <c r="Q812" s="4">
        <f>OBRA!S817</f>
        <v>1252.8</v>
      </c>
      <c r="R812" s="79" t="s">
        <v>5594</v>
      </c>
      <c r="S812" s="5">
        <f>OBRA!U817</f>
        <v>45399</v>
      </c>
      <c r="T812" s="11">
        <f>OBRA!V817</f>
        <v>45434</v>
      </c>
      <c r="U812" s="208" t="s">
        <v>5624</v>
      </c>
      <c r="V812" s="378" t="s">
        <v>1427</v>
      </c>
      <c r="W812" s="538"/>
      <c r="X812" s="438"/>
      <c r="Y812" s="1005" t="s">
        <v>1176</v>
      </c>
      <c r="Z812" s="310"/>
      <c r="AA812" s="310"/>
      <c r="AB812" s="5"/>
      <c r="AC812" s="318">
        <f>OBRA!BX817</f>
        <v>0</v>
      </c>
      <c r="AD812" s="353"/>
      <c r="AF812"/>
      <c r="AG812"/>
      <c r="AH812"/>
      <c r="AI812"/>
      <c r="AJ812"/>
      <c r="AK812"/>
      <c r="AL812"/>
      <c r="AM812"/>
    </row>
    <row r="813" spans="1:39" ht="15" hidden="1" customHeight="1">
      <c r="A813" s="22" t="s">
        <v>2209</v>
      </c>
      <c r="B813" s="814">
        <f>'ADMININSTRACIÓN DIR - OBRA'!B1087</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5624</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2209</v>
      </c>
      <c r="B814" s="814">
        <f>'ADMININSTRACIÓN DIR - OBRA'!B1088</f>
        <v>0</v>
      </c>
      <c r="C814" s="16">
        <f>OBRA!K819</f>
        <v>2024</v>
      </c>
      <c r="D814" s="17" t="str">
        <f>OBRA!N819</f>
        <v>CUENTA CORRIENTE</v>
      </c>
      <c r="E814" s="479" t="s">
        <v>1427</v>
      </c>
      <c r="F814" s="497" t="s">
        <v>6795</v>
      </c>
      <c r="G814" s="496" t="s">
        <v>6795</v>
      </c>
      <c r="H814" s="163"/>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6777</v>
      </c>
      <c r="O814" s="2003" t="s">
        <v>6867</v>
      </c>
      <c r="P814" s="6">
        <f>OBRA!T819</f>
        <v>45491</v>
      </c>
      <c r="Q814" s="4">
        <f>OBRA!S819</f>
        <v>1400.0039999999999</v>
      </c>
      <c r="R814" s="79" t="s">
        <v>2297</v>
      </c>
      <c r="S814" s="5">
        <f>OBRA!U819</f>
        <v>45495</v>
      </c>
      <c r="T814" s="11">
        <f>OBRA!V819</f>
        <v>45504</v>
      </c>
      <c r="U814" s="208" t="s">
        <v>5624</v>
      </c>
      <c r="V814" s="378" t="s">
        <v>1427</v>
      </c>
      <c r="W814" s="538"/>
      <c r="X814" s="438"/>
      <c r="Y814" s="1005" t="s">
        <v>1176</v>
      </c>
      <c r="Z814" s="310"/>
      <c r="AA814" s="310"/>
      <c r="AB814" s="5"/>
      <c r="AC814" s="318">
        <f>OBRA!BX819</f>
        <v>0</v>
      </c>
      <c r="AD814" s="353"/>
      <c r="AF814"/>
      <c r="AG814"/>
      <c r="AH814"/>
      <c r="AI814"/>
      <c r="AJ814"/>
      <c r="AK814"/>
      <c r="AL814"/>
      <c r="AM814"/>
    </row>
    <row r="815" spans="1:39" ht="142.5" customHeight="1">
      <c r="A815" s="22" t="s">
        <v>2209</v>
      </c>
      <c r="B815" s="814">
        <f>'ADMININSTRACIÓN DIR - OBRA'!B1089</f>
        <v>0</v>
      </c>
      <c r="C815" s="16">
        <f>OBRA!K820</f>
        <v>2024</v>
      </c>
      <c r="D815" s="17" t="str">
        <f>OBRA!N820</f>
        <v>CUENTA CORRIENTE</v>
      </c>
      <c r="E815" s="479" t="s">
        <v>1427</v>
      </c>
      <c r="F815" s="497" t="s">
        <v>5881</v>
      </c>
      <c r="G815" s="496" t="s">
        <v>5881</v>
      </c>
      <c r="H815" s="163"/>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6777</v>
      </c>
      <c r="O815" s="2003" t="s">
        <v>6868</v>
      </c>
      <c r="P815" s="6">
        <f>OBRA!T820</f>
        <v>45531</v>
      </c>
      <c r="Q815" s="4">
        <f>OBRA!S820</f>
        <v>9512</v>
      </c>
      <c r="R815" s="79" t="s">
        <v>6748</v>
      </c>
      <c r="S815" s="5">
        <f>OBRA!U820</f>
        <v>45533</v>
      </c>
      <c r="T815" s="11">
        <f>OBRA!V820</f>
        <v>45537</v>
      </c>
      <c r="U815" s="208" t="s">
        <v>5624</v>
      </c>
      <c r="V815" s="378" t="s">
        <v>1427</v>
      </c>
      <c r="W815" s="500" t="s">
        <v>5881</v>
      </c>
      <c r="X815" s="589" t="s">
        <v>5881</v>
      </c>
      <c r="Y815" s="1005" t="s">
        <v>1176</v>
      </c>
      <c r="Z815" s="310"/>
      <c r="AA815" s="310"/>
      <c r="AB815" s="5"/>
      <c r="AC815" s="318">
        <f>OBRA!BX820</f>
        <v>0</v>
      </c>
      <c r="AD815" s="353"/>
      <c r="AF815"/>
      <c r="AG815"/>
      <c r="AH815"/>
      <c r="AI815"/>
      <c r="AJ815"/>
      <c r="AK815"/>
      <c r="AL815"/>
      <c r="AM815"/>
    </row>
    <row r="816" spans="1:39" ht="153.75" customHeight="1">
      <c r="A816" s="22" t="s">
        <v>2209</v>
      </c>
      <c r="B816" s="814">
        <f>'ADMININSTRACIÓN DIR - OBRA'!B1090</f>
        <v>0</v>
      </c>
      <c r="C816" s="16">
        <f>OBRA!K821</f>
        <v>2024</v>
      </c>
      <c r="D816" s="17" t="str">
        <f>OBRA!N821</f>
        <v>CUENTA CORRIENTE</v>
      </c>
      <c r="E816" s="479" t="s">
        <v>1427</v>
      </c>
      <c r="F816" s="163"/>
      <c r="G816" s="496" t="s">
        <v>6524</v>
      </c>
      <c r="H816" s="163"/>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6777</v>
      </c>
      <c r="O816" s="2003" t="s">
        <v>6864</v>
      </c>
      <c r="P816" s="6">
        <f>OBRA!T821</f>
        <v>45474</v>
      </c>
      <c r="Q816" s="4">
        <f>OBRA!S821</f>
        <v>4452.1611999999996</v>
      </c>
      <c r="R816" s="79" t="s">
        <v>2297</v>
      </c>
      <c r="S816" s="5">
        <f>OBRA!U821</f>
        <v>45488</v>
      </c>
      <c r="T816" s="11">
        <f>OBRA!V821</f>
        <v>45545</v>
      </c>
      <c r="U816" s="208" t="s">
        <v>5624</v>
      </c>
      <c r="V816" s="378" t="s">
        <v>1427</v>
      </c>
      <c r="W816" s="538"/>
      <c r="X816" s="206" t="s">
        <v>1427</v>
      </c>
      <c r="Y816" s="1005" t="s">
        <v>1176</v>
      </c>
      <c r="Z816" s="310"/>
      <c r="AA816" s="310"/>
      <c r="AB816" s="5"/>
      <c r="AC816" s="318">
        <f>OBRA!BX821</f>
        <v>0</v>
      </c>
      <c r="AD816" s="353"/>
      <c r="AF816"/>
      <c r="AG816"/>
      <c r="AH816"/>
      <c r="AI816"/>
      <c r="AJ816"/>
      <c r="AK816"/>
      <c r="AL816"/>
      <c r="AM816"/>
    </row>
    <row r="817" spans="1:39" ht="147" customHeight="1">
      <c r="A817" s="22" t="s">
        <v>2209</v>
      </c>
      <c r="B817" s="814">
        <f>'ADMININSTRACIÓN DIR - OBRA'!B1091</f>
        <v>0</v>
      </c>
      <c r="C817" s="16">
        <f>OBRA!K822</f>
        <v>2024</v>
      </c>
      <c r="D817" s="17" t="str">
        <f>OBRA!N822</f>
        <v>CUENTA CORRIENTE</v>
      </c>
      <c r="E817" s="479" t="s">
        <v>1427</v>
      </c>
      <c r="F817" s="163"/>
      <c r="G817" s="496" t="s">
        <v>6524</v>
      </c>
      <c r="H817" s="163"/>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6777</v>
      </c>
      <c r="O817" s="2003" t="s">
        <v>6864</v>
      </c>
      <c r="P817" s="6">
        <f>OBRA!T822</f>
        <v>45474</v>
      </c>
      <c r="Q817" s="4">
        <f>OBRA!S822</f>
        <v>4452.1611999999996</v>
      </c>
      <c r="R817" s="79" t="s">
        <v>2297</v>
      </c>
      <c r="S817" s="5">
        <f>OBRA!U822</f>
        <v>45488</v>
      </c>
      <c r="T817" s="11">
        <f>OBRA!V822</f>
        <v>45545</v>
      </c>
      <c r="U817" s="208" t="s">
        <v>5624</v>
      </c>
      <c r="V817" s="378" t="s">
        <v>1427</v>
      </c>
      <c r="W817" s="538"/>
      <c r="X817" s="206" t="s">
        <v>1427</v>
      </c>
      <c r="Y817" s="1005" t="s">
        <v>1176</v>
      </c>
      <c r="Z817" s="310"/>
      <c r="AA817" s="310"/>
      <c r="AB817" s="5"/>
      <c r="AC817" s="318">
        <f>OBRA!BX822</f>
        <v>0</v>
      </c>
      <c r="AD817" s="353"/>
      <c r="AF817"/>
      <c r="AG817"/>
      <c r="AH817"/>
      <c r="AI817"/>
      <c r="AJ817"/>
      <c r="AK817"/>
      <c r="AL817"/>
      <c r="AM817"/>
    </row>
    <row r="818" spans="1:39" ht="108.75" customHeight="1">
      <c r="A818" s="22" t="s">
        <v>2209</v>
      </c>
      <c r="B818" s="814">
        <f>'ADMININSTRACIÓN DIR - OBRA'!B1092</f>
        <v>0</v>
      </c>
      <c r="C818" s="16">
        <f>OBRA!K823</f>
        <v>2024</v>
      </c>
      <c r="D818" s="17" t="str">
        <f>OBRA!N823</f>
        <v>CUENTA CORRIENTE</v>
      </c>
      <c r="E818" s="479" t="s">
        <v>1427</v>
      </c>
      <c r="F818" s="163"/>
      <c r="G818" s="496" t="s">
        <v>6524</v>
      </c>
      <c r="H818" s="163"/>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6777</v>
      </c>
      <c r="O818" s="2003" t="s">
        <v>6864</v>
      </c>
      <c r="P818" s="6">
        <f>OBRA!T823</f>
        <v>45541</v>
      </c>
      <c r="Q818" s="4">
        <f>OBRA!S823</f>
        <v>2204</v>
      </c>
      <c r="R818" s="79" t="s">
        <v>6748</v>
      </c>
      <c r="S818" s="5">
        <f>OBRA!U823</f>
        <v>45544</v>
      </c>
      <c r="T818" s="11">
        <f>OBRA!V823</f>
        <v>45548</v>
      </c>
      <c r="U818" s="208" t="s">
        <v>5624</v>
      </c>
      <c r="V818" s="378" t="s">
        <v>1427</v>
      </c>
      <c r="W818" s="538"/>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'ADMININSTRACIÓN DIR - OBRA'!B1093</f>
        <v>0</v>
      </c>
      <c r="C819" s="16">
        <f>OBRA!K824</f>
        <v>2024</v>
      </c>
      <c r="D819" s="17" t="str">
        <f>OBRA!N824</f>
        <v>REGULARIZACIÓN DE VEHÍCULOS DE PROCEDENCIA EXTRANJERA - RAMO 23/2024</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'ADMININSTRACIÓN DIR - OBRA'!B1094</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'ADMININSTRACIÓN DIR - OBRA'!B1095</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'ADMININSTRACIÓN DIR - OBRA'!B1096</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'ADMININSTRACIÓN DIR - OBRA'!B1097</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'ADMININSTRACIÓN DIR - OBRA'!B1098</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'ADMININSTRACIÓN DIR - OBRA'!B1099</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'ADMININSTRACIÓN DIR - OBRA'!B1100</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'ADMININSTRACIÓN DIR - OBRA'!B1101</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'ADMININSTRACIÓN DIR - OBRA'!B1102</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'ADMININSTRACIÓN DIR - OBRA'!B1103</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45320</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'ADMININSTRACIÓN DIR - OBRA'!B1104</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'ADMININSTRACIÓN DIR - OBRA'!B1105</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'ADMININSTRACIÓN DIR - OBRA'!B1106</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'ADMININSTRACIÓN DIR - OBRA'!B1107</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'ADMININSTRACIÓN DIR - OBRA'!B1108</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'ADMININSTRACIÓN DIR - OBRA'!B1109</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'ADMININSTRACIÓN DIR - OBRA'!B1110</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'ADMININSTRACIÓN DIR - OBRA'!B1111</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'ADMININSTRACIÓN DIR - OBRA'!B1112</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'ADMININSTRACIÓN DIR - OBRA'!B1113</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'ADMININSTRACIÓN DIR - OBRA'!B1114</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'ADMININSTRACIÓN DIR - OBRA'!B1115</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'ADMININSTRACIÓN DIR - OBRA'!B1116</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'ADMININSTRACIÓN DIR - OBRA'!B1117</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'ADMININSTRACIÓN DIR - OBRA'!B1118</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'ADMININSTRACIÓN DIR - OBRA'!B1119</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'ADMININSTRACIÓN DIR - OBRA'!B1120</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'ADMININSTRACIÓN DIR - OBRA'!B1121</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'ADMININSTRACIÓN DIR - OBRA'!B1122</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'ADMININSTRACIÓN DIR - OBRA'!B1123</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'ADMININSTRACIÓN DIR - OBRA'!B1124</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'ADMININSTRACIÓN DIR - OBRA'!B1125</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'ADMININSTRACIÓN DIR - OBRA'!B1126</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'ADMININSTRACIÓN DIR - OBRA'!B1127</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'ADMININSTRACIÓN DIR - OBRA'!B1128</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'ADMININSTRACIÓN DIR - OBRA'!B1129</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'ADMININSTRACIÓN DIR - OBRA'!B1130</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'ADMININSTRACIÓN DIR - OBRA'!B1131</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'ADMININSTRACIÓN DIR - OBRA'!B1132</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'ADMININSTRACIÓN DIR - OBRA'!B1133</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268901.77</v>
      </c>
      <c r="Z859" s="310"/>
      <c r="AA859" s="310"/>
      <c r="AB859" s="5"/>
      <c r="AC859" s="318">
        <f>OBRA!BX864</f>
        <v>0</v>
      </c>
      <c r="AD859" s="353"/>
      <c r="AF859"/>
      <c r="AG859"/>
      <c r="AH859"/>
      <c r="AI859"/>
      <c r="AJ859"/>
      <c r="AK859"/>
      <c r="AL859"/>
      <c r="AM859"/>
    </row>
    <row r="860" spans="1:39" ht="15" hidden="1" customHeight="1">
      <c r="A860" s="22" t="s">
        <v>2209</v>
      </c>
      <c r="B860" s="814">
        <f>'ADMININSTRACIÓN DIR - OBRA'!B1134</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'ADMININSTRACIÓN DIR - OBRA'!B1135</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'ADMININSTRACIÓN DIR - OBRA'!B1136</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t="str">
        <f>OBRA!BX867</f>
        <v>FALTA TODO EXPEDIENTE</v>
      </c>
      <c r="AD862" s="353"/>
      <c r="AF862"/>
      <c r="AG862"/>
      <c r="AH862"/>
      <c r="AI862"/>
      <c r="AJ862"/>
      <c r="AK862"/>
      <c r="AL862"/>
      <c r="AM862"/>
    </row>
    <row r="863" spans="1:39" ht="15" hidden="1" customHeight="1">
      <c r="A863" s="22" t="s">
        <v>2209</v>
      </c>
      <c r="B863" s="814">
        <f>'ADMININSTRACIÓN DIR - OBRA'!B1137</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'ADMININSTRACIÓN DIR - OBRA'!B1138</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'ADMININSTRACIÓN DIR - OBRA'!B1139</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'ADMININSTRACIÓN DIR - OBRA'!B1140</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'ADMININSTRACIÓN DIR - OBRA'!B1141</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2209</v>
      </c>
      <c r="B868" s="814">
        <f>'ADMININSTRACIÓN DIR - OBRA'!B1142</f>
        <v>0</v>
      </c>
      <c r="C868" s="16">
        <f>OBRA!K873</f>
        <v>2025</v>
      </c>
      <c r="D868" s="17">
        <f>OBRA!N873</f>
        <v>0</v>
      </c>
      <c r="E868" s="1194"/>
      <c r="F868" s="1129"/>
      <c r="G868" s="220"/>
      <c r="H868" s="1129"/>
      <c r="I868" s="54" t="str">
        <f>OBRA!X873</f>
        <v>-</v>
      </c>
      <c r="J868" s="55">
        <f>OBRA!Y873</f>
        <v>0</v>
      </c>
      <c r="K868" s="19" t="str">
        <f>OBRA!O873</f>
        <v>DOP/AD/001/2025</v>
      </c>
      <c r="L868" s="2" t="str">
        <f>OBRA!P873</f>
        <v>ADMINISTRACIÓN DIRECTA</v>
      </c>
      <c r="M868" s="3">
        <f>OBRA!Q873</f>
        <v>0</v>
      </c>
      <c r="N868" s="544"/>
      <c r="O868" s="544"/>
      <c r="P868" s="6">
        <f>OBRA!T873</f>
        <v>0</v>
      </c>
      <c r="Q868" s="4">
        <f>OBRA!S873</f>
        <v>0</v>
      </c>
      <c r="R868" s="4"/>
      <c r="S868" s="5">
        <f>OBRA!U873</f>
        <v>0</v>
      </c>
      <c r="T868" s="11">
        <f>OBRA!V873</f>
        <v>0</v>
      </c>
      <c r="U868" s="683"/>
      <c r="V868" s="204"/>
      <c r="W868" s="509"/>
      <c r="X868" s="510"/>
      <c r="Y868" s="537" t="str">
        <f>OBRA!AS873</f>
        <v>-</v>
      </c>
      <c r="Z868" s="310"/>
      <c r="AA868" s="310"/>
      <c r="AB868" s="5"/>
      <c r="AC868" s="318">
        <f>OBRA!BX873</f>
        <v>0</v>
      </c>
      <c r="AD868" s="353"/>
      <c r="AF868"/>
      <c r="AG868"/>
      <c r="AH868"/>
      <c r="AI868"/>
      <c r="AJ868"/>
      <c r="AK868"/>
      <c r="AL868"/>
      <c r="AM868"/>
    </row>
    <row r="869" spans="1:39" ht="15" hidden="1" customHeight="1">
      <c r="A869" s="22" t="s">
        <v>2209</v>
      </c>
      <c r="B869" s="814">
        <f>'ADMININSTRACIÓN DIR - OBRA'!B1143</f>
        <v>0</v>
      </c>
      <c r="C869" s="16">
        <f>OBRA!K900</f>
        <v>0</v>
      </c>
      <c r="D869" s="17">
        <f>OBRA!N900</f>
        <v>0</v>
      </c>
      <c r="E869" s="1194"/>
      <c r="F869" s="1129"/>
      <c r="G869" s="220"/>
      <c r="H869" s="1129"/>
      <c r="I869" s="54">
        <f>OBRA!X900</f>
        <v>0</v>
      </c>
      <c r="J869" s="55">
        <f>OBRA!Y900</f>
        <v>0</v>
      </c>
      <c r="K869" s="19">
        <f>OBRA!O900</f>
        <v>0</v>
      </c>
      <c r="L869" s="2">
        <f>OBRA!P900</f>
        <v>0</v>
      </c>
      <c r="M869" s="3">
        <f>OBRA!Q900</f>
        <v>0</v>
      </c>
      <c r="N869" s="544"/>
      <c r="O869" s="544"/>
      <c r="P869" s="6">
        <f>OBRA!T900</f>
        <v>0</v>
      </c>
      <c r="Q869" s="4">
        <f>OBRA!S900</f>
        <v>0</v>
      </c>
      <c r="R869" s="4"/>
      <c r="S869" s="5">
        <f>OBRA!U900</f>
        <v>0</v>
      </c>
      <c r="T869" s="11">
        <f>OBRA!V900</f>
        <v>0</v>
      </c>
      <c r="U869" s="683"/>
      <c r="V869" s="204"/>
      <c r="W869" s="509"/>
      <c r="X869" s="510"/>
      <c r="Y869" s="537">
        <f>OBRA!AS900</f>
        <v>0</v>
      </c>
      <c r="Z869" s="310"/>
      <c r="AA869" s="310"/>
      <c r="AB869" s="5"/>
      <c r="AC869" s="318">
        <f>OBRA!BX900</f>
        <v>0</v>
      </c>
      <c r="AD869" s="353"/>
      <c r="AF869"/>
      <c r="AG869"/>
      <c r="AH869"/>
      <c r="AI869"/>
      <c r="AJ869"/>
      <c r="AK869"/>
      <c r="AL869"/>
      <c r="AM869"/>
    </row>
    <row r="870" spans="1:39" ht="15" hidden="1" customHeight="1">
      <c r="A870" s="22" t="s">
        <v>2209</v>
      </c>
      <c r="B870" s="814">
        <f>'ADMININSTRACIÓN DIR - OBRA'!B1144</f>
        <v>0</v>
      </c>
      <c r="C870" s="16">
        <f>OBRA!K901</f>
        <v>0</v>
      </c>
      <c r="D870" s="17">
        <f>OBRA!N901</f>
        <v>0</v>
      </c>
      <c r="E870" s="1194"/>
      <c r="F870" s="1129"/>
      <c r="G870" s="220"/>
      <c r="H870" s="1129"/>
      <c r="I870" s="54">
        <f>OBRA!X901</f>
        <v>0</v>
      </c>
      <c r="J870" s="55">
        <f>OBRA!Y901</f>
        <v>0</v>
      </c>
      <c r="K870" s="19">
        <f>OBRA!O901</f>
        <v>0</v>
      </c>
      <c r="L870" s="2">
        <f>OBRA!P901</f>
        <v>0</v>
      </c>
      <c r="M870" s="3">
        <f>OBRA!Q901</f>
        <v>0</v>
      </c>
      <c r="N870" s="544"/>
      <c r="O870" s="544"/>
      <c r="P870" s="6">
        <f>OBRA!T901</f>
        <v>0</v>
      </c>
      <c r="Q870" s="4">
        <f>OBRA!S901</f>
        <v>0</v>
      </c>
      <c r="R870" s="4"/>
      <c r="S870" s="5">
        <f>OBRA!U901</f>
        <v>0</v>
      </c>
      <c r="T870" s="11">
        <f>OBRA!V901</f>
        <v>0</v>
      </c>
      <c r="U870" s="683"/>
      <c r="V870" s="204"/>
      <c r="W870" s="509"/>
      <c r="X870" s="510"/>
      <c r="Y870" s="537">
        <f>OBRA!AS901</f>
        <v>0</v>
      </c>
      <c r="Z870" s="310"/>
      <c r="AA870" s="310"/>
      <c r="AB870" s="5"/>
      <c r="AC870" s="318">
        <f>OBRA!BX901</f>
        <v>0</v>
      </c>
      <c r="AD870" s="353"/>
      <c r="AF870"/>
      <c r="AG870"/>
      <c r="AH870"/>
      <c r="AI870"/>
      <c r="AJ870"/>
      <c r="AK870"/>
      <c r="AL870"/>
      <c r="AM870"/>
    </row>
    <row r="871" spans="1:39" ht="15" hidden="1" customHeight="1">
      <c r="A871" s="22" t="s">
        <v>2209</v>
      </c>
      <c r="B871" s="814">
        <f>'ADMININSTRACIÓN DIR - OBRA'!B1145</f>
        <v>0</v>
      </c>
      <c r="C871" s="16">
        <f>OBRA!K902</f>
        <v>0</v>
      </c>
      <c r="D871" s="17">
        <f>OBRA!N902</f>
        <v>0</v>
      </c>
      <c r="E871" s="1194"/>
      <c r="F871" s="1129"/>
      <c r="G871" s="220"/>
      <c r="H871" s="1129"/>
      <c r="I871" s="54">
        <f>OBRA!X902</f>
        <v>0</v>
      </c>
      <c r="J871" s="55">
        <f>OBRA!Y902</f>
        <v>0</v>
      </c>
      <c r="K871" s="19">
        <f>OBRA!O902</f>
        <v>0</v>
      </c>
      <c r="L871" s="2">
        <f>OBRA!P902</f>
        <v>0</v>
      </c>
      <c r="M871" s="3">
        <f>OBRA!Q902</f>
        <v>0</v>
      </c>
      <c r="N871" s="544"/>
      <c r="O871" s="544"/>
      <c r="P871" s="6">
        <f>OBRA!T902</f>
        <v>0</v>
      </c>
      <c r="Q871" s="4">
        <f>OBRA!S902</f>
        <v>0</v>
      </c>
      <c r="R871" s="4"/>
      <c r="S871" s="5">
        <f>OBRA!U902</f>
        <v>0</v>
      </c>
      <c r="T871" s="11">
        <f>OBRA!V902</f>
        <v>0</v>
      </c>
      <c r="U871" s="683"/>
      <c r="V871" s="204"/>
      <c r="W871" s="509"/>
      <c r="X871" s="510"/>
      <c r="Y871" s="537">
        <f>OBRA!AS902</f>
        <v>0</v>
      </c>
      <c r="Z871" s="310"/>
      <c r="AA871" s="310"/>
      <c r="AB871" s="5"/>
      <c r="AC871" s="318">
        <f>OBRA!BX902</f>
        <v>0</v>
      </c>
      <c r="AD871" s="353"/>
      <c r="AF871"/>
      <c r="AG871"/>
      <c r="AH871"/>
      <c r="AI871"/>
      <c r="AJ871"/>
      <c r="AK871"/>
      <c r="AL871"/>
      <c r="AM871"/>
    </row>
    <row r="872" spans="1:39" ht="15" hidden="1" customHeight="1">
      <c r="A872" s="22" t="s">
        <v>2209</v>
      </c>
      <c r="B872" s="814">
        <f>'ADMININSTRACIÓN DIR - OBRA'!B1146</f>
        <v>0</v>
      </c>
      <c r="C872" s="16">
        <f>OBRA!K903</f>
        <v>0</v>
      </c>
      <c r="D872" s="17">
        <f>OBRA!N903</f>
        <v>0</v>
      </c>
      <c r="E872" s="1194"/>
      <c r="F872" s="1129"/>
      <c r="G872" s="220"/>
      <c r="H872" s="1129"/>
      <c r="I872" s="54">
        <f>OBRA!X903</f>
        <v>0</v>
      </c>
      <c r="J872" s="55">
        <f>OBRA!Y903</f>
        <v>0</v>
      </c>
      <c r="K872" s="19">
        <f>OBRA!O903</f>
        <v>0</v>
      </c>
      <c r="L872" s="2">
        <f>OBRA!P903</f>
        <v>0</v>
      </c>
      <c r="M872" s="3">
        <f>OBRA!Q903</f>
        <v>0</v>
      </c>
      <c r="N872" s="544"/>
      <c r="O872" s="544"/>
      <c r="P872" s="6">
        <f>OBRA!T903</f>
        <v>0</v>
      </c>
      <c r="Q872" s="4">
        <f>OBRA!S903</f>
        <v>0</v>
      </c>
      <c r="R872" s="4"/>
      <c r="S872" s="5">
        <f>OBRA!U903</f>
        <v>0</v>
      </c>
      <c r="T872" s="11">
        <f>OBRA!V903</f>
        <v>0</v>
      </c>
      <c r="U872" s="683"/>
      <c r="V872" s="204"/>
      <c r="W872" s="509"/>
      <c r="X872" s="510"/>
      <c r="Y872" s="537">
        <f>OBRA!AS903</f>
        <v>0</v>
      </c>
      <c r="Z872" s="310"/>
      <c r="AA872" s="310"/>
      <c r="AB872" s="5"/>
      <c r="AC872" s="318">
        <f>OBRA!BX903</f>
        <v>0</v>
      </c>
      <c r="AD872" s="353"/>
      <c r="AF872"/>
      <c r="AG872"/>
      <c r="AH872"/>
      <c r="AI872"/>
      <c r="AJ872"/>
      <c r="AK872"/>
      <c r="AL872"/>
      <c r="AM872"/>
    </row>
    <row r="873" spans="1:39">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3"/>
      <c r="AA873" s="253"/>
      <c r="AB873" s="253"/>
      <c r="AC873" s="253"/>
      <c r="AD873" s="253"/>
    </row>
    <row r="874" spans="1:39" ht="15.75" thickBot="1"/>
    <row r="875" spans="1:39" ht="18.75">
      <c r="A875" s="2145" t="s">
        <v>2276</v>
      </c>
      <c r="B875" s="2146"/>
      <c r="C875" s="2146"/>
      <c r="D875" s="2146"/>
      <c r="E875" s="2146"/>
      <c r="F875" s="2146"/>
      <c r="G875" s="2146"/>
      <c r="H875" s="2146"/>
      <c r="I875" s="2146"/>
      <c r="J875" s="2146"/>
      <c r="K875" s="2147"/>
    </row>
    <row r="876" spans="1:39" ht="6" customHeight="1">
      <c r="A876" s="372"/>
      <c r="B876" s="811"/>
      <c r="K876" s="373"/>
    </row>
    <row r="877" spans="1:39" ht="18.75">
      <c r="A877" s="377">
        <v>2</v>
      </c>
      <c r="B877" s="812"/>
      <c r="D877" t="s">
        <v>2277</v>
      </c>
      <c r="K877" s="373"/>
    </row>
    <row r="878" spans="1:39" ht="18.75">
      <c r="A878" s="377">
        <v>6</v>
      </c>
      <c r="B878" s="812"/>
      <c r="D878" t="s">
        <v>2278</v>
      </c>
      <c r="K878" s="373"/>
    </row>
    <row r="879" spans="1:39" ht="16.5" thickBot="1">
      <c r="A879" s="374"/>
      <c r="B879" s="813"/>
      <c r="C879" s="375"/>
      <c r="D879" s="375"/>
      <c r="E879" s="375"/>
      <c r="F879" s="375"/>
      <c r="G879" s="375"/>
      <c r="H879" s="375"/>
      <c r="I879" s="375"/>
      <c r="J879" s="375"/>
      <c r="K879" s="376"/>
    </row>
    <row r="881" spans="1:39" s="424" customFormat="1" ht="18.75">
      <c r="A881" s="2148" t="s">
        <v>2182</v>
      </c>
      <c r="B881" s="2148"/>
      <c r="C881" s="2148"/>
      <c r="D881" s="2148"/>
      <c r="E881" s="1023"/>
      <c r="AF881" s="1024"/>
      <c r="AG881" s="1024"/>
      <c r="AH881" s="1024"/>
      <c r="AI881" s="1024"/>
      <c r="AJ881" s="1024"/>
      <c r="AK881" s="1024"/>
      <c r="AL881" s="1024"/>
      <c r="AM881" s="1024"/>
    </row>
    <row r="882" spans="1:39" s="1018" customFormat="1" ht="24" customHeight="1">
      <c r="A882" s="2149">
        <f>OBRA!Q904</f>
        <v>45789</v>
      </c>
      <c r="B882" s="2149"/>
      <c r="C882" s="2149"/>
      <c r="D882" s="2149"/>
      <c r="E882" s="1025"/>
      <c r="M882" s="1026"/>
      <c r="Q882" s="1027"/>
      <c r="R882" s="1027"/>
      <c r="AF882" s="1028"/>
      <c r="AG882" s="1028"/>
      <c r="AH882" s="1028"/>
      <c r="AI882" s="1028"/>
      <c r="AJ882" s="1028"/>
      <c r="AK882" s="1028"/>
      <c r="AL882" s="1028"/>
      <c r="AM882" s="1028"/>
    </row>
    <row r="883" spans="1:39">
      <c r="Q883" s="506"/>
      <c r="R883" s="506"/>
    </row>
  </sheetData>
  <autoFilter ref="A6:AD872" xr:uid="{00000000-0009-0000-0000-000004000000}">
    <filterColumn colId="2">
      <filters>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12"/>
  <sheetViews>
    <sheetView view="pageBreakPreview" zoomScale="55" zoomScaleNormal="85" zoomScaleSheetLayoutView="55" workbookViewId="0">
      <selection activeCell="E648" sqref="E648"/>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50" customFormat="1" ht="45.75" customHeight="1" thickBot="1">
      <c r="A1" s="2150" t="s">
        <v>5531</v>
      </c>
      <c r="B1" s="2150"/>
      <c r="C1" s="2150"/>
      <c r="D1" s="2150"/>
      <c r="E1" s="2150"/>
      <c r="F1" s="2150"/>
      <c r="G1" s="2150"/>
      <c r="H1" s="2150"/>
      <c r="I1" s="2150"/>
      <c r="J1" s="2150"/>
      <c r="K1" s="2150"/>
      <c r="L1" s="2150"/>
      <c r="M1" s="2150"/>
      <c r="N1" s="2150"/>
      <c r="O1" s="2150"/>
      <c r="P1" s="2150"/>
      <c r="Q1" s="2150"/>
      <c r="R1" s="2150"/>
      <c r="S1" s="2150"/>
      <c r="T1" s="2150"/>
      <c r="U1" s="2150"/>
      <c r="V1" s="2151"/>
      <c r="W1" s="2150"/>
      <c r="X1" s="2150"/>
      <c r="Y1" s="2150"/>
      <c r="Z1" s="2150"/>
      <c r="AA1" s="2150"/>
      <c r="AB1" s="2150"/>
      <c r="AC1" s="2150"/>
      <c r="AD1" s="2150"/>
      <c r="AE1" s="2150"/>
      <c r="AF1" s="2150"/>
      <c r="AG1" s="2150"/>
      <c r="AH1" s="2150"/>
      <c r="AI1" s="2150"/>
      <c r="AJ1" s="2150"/>
      <c r="AK1" s="2150"/>
      <c r="AL1" s="2150"/>
      <c r="AM1" s="2150"/>
      <c r="AN1" s="2150"/>
      <c r="AO1" s="2150"/>
    </row>
    <row r="2" spans="1:42" ht="30" customHeight="1" thickTop="1" thickBot="1">
      <c r="A2" s="2166" t="str">
        <f>'ADMININSTRACIÓN DIR - OBRA'!A2:BJ2</f>
        <v>DEL 01 DE ENERO 2022 A FECHA ACTUAL</v>
      </c>
      <c r="B2" s="2167"/>
      <c r="C2" s="2167"/>
      <c r="D2" s="2167"/>
      <c r="E2" s="2167"/>
      <c r="F2" s="2167"/>
      <c r="G2" s="2167"/>
      <c r="H2" s="2167"/>
      <c r="I2" s="2167"/>
      <c r="J2" s="2167"/>
      <c r="K2" s="2167"/>
      <c r="L2" s="2167"/>
      <c r="M2" s="2167"/>
      <c r="N2" s="2167"/>
      <c r="O2" s="2167"/>
      <c r="P2" s="2167"/>
      <c r="Q2" s="2167"/>
      <c r="R2" s="2167"/>
      <c r="S2" s="2167"/>
      <c r="T2" s="2167"/>
      <c r="U2" s="2167"/>
      <c r="V2" s="2168"/>
      <c r="W2" s="2167"/>
      <c r="X2" s="2167"/>
      <c r="Y2" s="2167"/>
      <c r="Z2" s="2167"/>
      <c r="AA2" s="2167"/>
      <c r="AB2" s="2167"/>
      <c r="AC2" s="2167"/>
      <c r="AD2" s="2167"/>
      <c r="AE2" s="2167"/>
      <c r="AF2" s="2167"/>
      <c r="AG2" s="2167"/>
      <c r="AH2" s="2167"/>
      <c r="AI2" s="2167"/>
      <c r="AJ2" s="2169"/>
      <c r="AK2" s="2169"/>
      <c r="AL2" s="2169"/>
      <c r="AM2" s="2169"/>
      <c r="AN2" s="2169"/>
      <c r="AO2" s="2170"/>
    </row>
    <row r="3" spans="1:42" ht="33" customHeight="1" thickTop="1" thickBot="1">
      <c r="A3" s="757"/>
      <c r="B3" s="1729"/>
      <c r="C3" s="2156" t="s">
        <v>2279</v>
      </c>
      <c r="D3" s="2157"/>
      <c r="E3" s="2157"/>
      <c r="F3" s="2157"/>
      <c r="G3" s="2157"/>
      <c r="H3" s="2157"/>
      <c r="I3" s="2157"/>
      <c r="J3" s="2157"/>
      <c r="K3" s="2157"/>
      <c r="L3" s="2157"/>
      <c r="M3" s="2157"/>
      <c r="N3" s="2157"/>
      <c r="O3" s="2157"/>
      <c r="P3" s="2157"/>
      <c r="Q3" s="2157"/>
      <c r="R3" s="2158"/>
      <c r="S3" s="2159" t="s">
        <v>4</v>
      </c>
      <c r="T3" s="2159"/>
      <c r="U3" s="2160"/>
      <c r="V3" s="1480"/>
      <c r="W3" s="2152" t="s">
        <v>2</v>
      </c>
      <c r="X3" s="2153"/>
      <c r="Y3" s="2153"/>
      <c r="Z3" s="2153"/>
      <c r="AA3" s="2153"/>
      <c r="AB3" s="2154"/>
      <c r="AC3" s="2154"/>
      <c r="AD3" s="2154"/>
      <c r="AE3" s="2154"/>
      <c r="AF3" s="2154"/>
      <c r="AG3" s="2155"/>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65" t="s">
        <v>2282</v>
      </c>
      <c r="X4" s="2164"/>
      <c r="Y4" s="155" t="s">
        <v>2193</v>
      </c>
      <c r="Z4" s="2163" t="s">
        <v>2194</v>
      </c>
      <c r="AA4" s="2164"/>
      <c r="AB4" s="135"/>
      <c r="AC4" s="135"/>
      <c r="AD4" s="135"/>
      <c r="AE4" s="135"/>
      <c r="AF4" s="135"/>
      <c r="AG4" s="136"/>
      <c r="AH4" s="1376" t="s">
        <v>3817</v>
      </c>
      <c r="AI4" s="388" t="s">
        <v>2195</v>
      </c>
      <c r="AJ4" s="751" t="s">
        <v>2283</v>
      </c>
      <c r="AK4" s="751" t="s">
        <v>2284</v>
      </c>
      <c r="AL4" s="1061" t="s">
        <v>2285</v>
      </c>
      <c r="AM4" s="774"/>
      <c r="AN4" s="772"/>
      <c r="AO4" s="762"/>
    </row>
    <row r="5" spans="1:42" ht="55.5" customHeight="1" thickBot="1">
      <c r="A5" s="157" t="s">
        <v>19</v>
      </c>
      <c r="B5" s="120" t="s">
        <v>4841</v>
      </c>
      <c r="C5" s="381" t="s">
        <v>2286</v>
      </c>
      <c r="D5" s="145" t="s">
        <v>2287</v>
      </c>
      <c r="E5" s="154" t="s">
        <v>5805</v>
      </c>
      <c r="F5" s="154" t="s">
        <v>2288</v>
      </c>
      <c r="G5" s="379" t="s">
        <v>2289</v>
      </c>
      <c r="H5" s="153" t="s">
        <v>2290</v>
      </c>
      <c r="I5" s="145" t="s">
        <v>2291</v>
      </c>
      <c r="J5" s="145" t="s">
        <v>2292</v>
      </c>
      <c r="K5" s="380" t="s">
        <v>2293</v>
      </c>
      <c r="L5" s="145" t="s">
        <v>2294</v>
      </c>
      <c r="M5" s="145" t="s">
        <v>4588</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3816</v>
      </c>
      <c r="AI5" s="393" t="s">
        <v>2302</v>
      </c>
      <c r="AJ5" s="394" t="s">
        <v>2303</v>
      </c>
      <c r="AK5" s="394" t="s">
        <v>1423</v>
      </c>
      <c r="AL5" s="770" t="s">
        <v>2202</v>
      </c>
      <c r="AM5" s="775" t="s">
        <v>1408</v>
      </c>
      <c r="AN5" s="769" t="s">
        <v>1425</v>
      </c>
      <c r="AO5" s="14"/>
      <c r="AP5" s="181"/>
    </row>
    <row r="6" spans="1:42" s="723" customFormat="1" ht="27.75"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3"/>
      <c r="AH6" s="717"/>
      <c r="AI6" s="734"/>
      <c r="AJ6" s="735"/>
      <c r="AK6" s="735"/>
      <c r="AL6" s="771"/>
      <c r="AM6" s="776"/>
      <c r="AN6" s="724"/>
      <c r="AO6" s="737"/>
      <c r="AP6" s="717"/>
    </row>
    <row r="7" spans="1:42" s="300" customFormat="1" ht="45.75" hidden="1" thickTop="1">
      <c r="A7" s="301">
        <f>OBRA!K6</f>
        <v>2013</v>
      </c>
      <c r="B7" s="1730"/>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'ADMININSTRACIÓN DIR - OBRA'!B8</f>
        <v>2012-2015</v>
      </c>
      <c r="AN7" s="354"/>
      <c r="AO7" s="299"/>
    </row>
    <row r="8" spans="1:42" ht="30" hidden="1" customHeight="1" thickTop="1">
      <c r="A8" s="158">
        <f>OBRA!K7</f>
        <v>2013</v>
      </c>
      <c r="B8" s="1731"/>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'ADMININSTRACIÓN DIR - OBRA'!B9</f>
        <v>2012-2015</v>
      </c>
      <c r="AN8" s="522"/>
      <c r="AO8" s="12"/>
    </row>
    <row r="9" spans="1:42" ht="30" hidden="1" customHeight="1" thickBot="1">
      <c r="A9" s="158">
        <f>OBRA!K8</f>
        <v>2013</v>
      </c>
      <c r="B9" s="1731"/>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'ADMININSTRACIÓN DIR - OBRA'!B10</f>
        <v>2012-2015</v>
      </c>
      <c r="AN9" s="522"/>
      <c r="AO9" s="12"/>
    </row>
    <row r="10" spans="1:42" ht="30" hidden="1" customHeight="1" thickTop="1">
      <c r="A10" s="158">
        <f>OBRA!K9</f>
        <v>2013</v>
      </c>
      <c r="B10" s="1731"/>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'ADMININSTRACIÓN DIR - OBRA'!B11</f>
        <v>2012-2015</v>
      </c>
      <c r="AN10" s="522"/>
      <c r="AO10" s="12"/>
    </row>
    <row r="11" spans="1:42" ht="30" hidden="1" customHeight="1">
      <c r="A11" s="158">
        <f>OBRA!K10</f>
        <v>2013</v>
      </c>
      <c r="B11" s="1731"/>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'ADMININSTRACIÓN DIR - OBRA'!B12</f>
        <v>2012-2015</v>
      </c>
      <c r="AN11" s="522"/>
      <c r="AO11" s="12"/>
    </row>
    <row r="12" spans="1:42" ht="30" hidden="1" customHeight="1">
      <c r="A12" s="158">
        <f>OBRA!K11</f>
        <v>2013</v>
      </c>
      <c r="B12" s="1731"/>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'ADMININSTRACIÓN DIR - OBRA'!B13</f>
        <v>2012-2015</v>
      </c>
      <c r="AN12" s="522"/>
      <c r="AO12" s="12"/>
    </row>
    <row r="13" spans="1:42" ht="30" hidden="1" customHeight="1">
      <c r="A13" s="158">
        <f>OBRA!K12</f>
        <v>2013</v>
      </c>
      <c r="B13" s="1731"/>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'ADMININSTRACIÓN DIR - OBRA'!B14</f>
        <v>2012-2015</v>
      </c>
      <c r="AN13" s="522"/>
      <c r="AO13" s="12"/>
    </row>
    <row r="14" spans="1:42" ht="30" hidden="1" customHeight="1">
      <c r="A14" s="158">
        <f>OBRA!K13</f>
        <v>2013</v>
      </c>
      <c r="B14" s="1731"/>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'ADMININSTRACIÓN DIR - OBRA'!B15</f>
        <v>2012-2015</v>
      </c>
      <c r="AN14" s="522"/>
      <c r="AO14" s="12"/>
    </row>
    <row r="15" spans="1:42" ht="30" hidden="1" customHeight="1">
      <c r="A15" s="158">
        <f>OBRA!K14</f>
        <v>2013</v>
      </c>
      <c r="B15" s="1731"/>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'ADMININSTRACIÓN DIR - OBRA'!B16</f>
        <v>2012-2015</v>
      </c>
      <c r="AN15" s="522"/>
      <c r="AO15" s="12"/>
    </row>
    <row r="16" spans="1:42" ht="30" hidden="1" customHeight="1">
      <c r="A16" s="158">
        <f>OBRA!K15</f>
        <v>2013</v>
      </c>
      <c r="B16" s="1731"/>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'ADMININSTRACIÓN DIR - OBRA'!B17</f>
        <v>2012-2015</v>
      </c>
      <c r="AN16" s="522"/>
      <c r="AO16" s="12"/>
    </row>
    <row r="17" spans="1:41" ht="30" hidden="1" customHeight="1">
      <c r="A17" s="158">
        <f>OBRA!K16</f>
        <v>2013</v>
      </c>
      <c r="B17" s="1731"/>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'ADMININSTRACIÓN DIR - OBRA'!B18</f>
        <v>2012-2015</v>
      </c>
      <c r="AN17" s="522"/>
      <c r="AO17" s="12"/>
    </row>
    <row r="18" spans="1:41" s="300" customFormat="1" ht="75.75" hidden="1" thickTop="1">
      <c r="A18" s="301">
        <f>OBRA!K17</f>
        <v>2013</v>
      </c>
      <c r="B18" s="1730"/>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'ADMININSTRACIÓN DIR - OBRA'!B19</f>
        <v>2012-2015</v>
      </c>
      <c r="AN18" s="858"/>
      <c r="AO18" s="299"/>
    </row>
    <row r="19" spans="1:41" ht="30" hidden="1" customHeight="1">
      <c r="A19" s="158">
        <f>OBRA!K18</f>
        <v>2013</v>
      </c>
      <c r="B19" s="1731"/>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'ADMININSTRACIÓN DIR - OBRA'!B20</f>
        <v>2012-2015</v>
      </c>
      <c r="AN19" s="522"/>
      <c r="AO19" s="12"/>
    </row>
    <row r="20" spans="1:41" ht="30" hidden="1" customHeight="1">
      <c r="A20" s="158">
        <f>OBRA!K19</f>
        <v>2013</v>
      </c>
      <c r="B20" s="1731"/>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'ADMININSTRACIÓN DIR - OBRA'!B21</f>
        <v>2012-2015</v>
      </c>
      <c r="AN20" s="522"/>
      <c r="AO20" s="12"/>
    </row>
    <row r="21" spans="1:41" ht="30" hidden="1" customHeight="1">
      <c r="A21" s="158">
        <f>OBRA!K20</f>
        <v>2013</v>
      </c>
      <c r="B21" s="1731"/>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'ADMININSTRACIÓN DIR - OBRA'!B22</f>
        <v>2012-2015</v>
      </c>
      <c r="AN21" s="522"/>
      <c r="AO21" s="12"/>
    </row>
    <row r="22" spans="1:41" ht="30" hidden="1" customHeight="1">
      <c r="A22" s="158">
        <f>OBRA!K21</f>
        <v>2013</v>
      </c>
      <c r="B22" s="1731"/>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'ADMININSTRACIÓN DIR - OBRA'!B23</f>
        <v>2012-2015</v>
      </c>
      <c r="AN22" s="522"/>
      <c r="AO22" s="12"/>
    </row>
    <row r="23" spans="1:41" ht="30" hidden="1" customHeight="1">
      <c r="A23" s="158">
        <f>OBRA!K22</f>
        <v>2013</v>
      </c>
      <c r="B23" s="1731"/>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'ADMININSTRACIÓN DIR - OBRA'!B24</f>
        <v>2012-2015</v>
      </c>
      <c r="AN23" s="522"/>
      <c r="AO23" s="12"/>
    </row>
    <row r="24" spans="1:41" ht="30" hidden="1" customHeight="1">
      <c r="A24" s="158">
        <f>OBRA!K23</f>
        <v>2013</v>
      </c>
      <c r="B24" s="1731"/>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'ADMININSTRACIÓN DIR - OBRA'!B25</f>
        <v>2012-2015</v>
      </c>
      <c r="AN24" s="522"/>
      <c r="AO24" s="12"/>
    </row>
    <row r="25" spans="1:41" ht="30" hidden="1" customHeight="1">
      <c r="A25" s="158">
        <f>OBRA!K24</f>
        <v>2013</v>
      </c>
      <c r="B25" s="1731"/>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'ADMININSTRACIÓN DIR - OBRA'!B26</f>
        <v>2012-2015</v>
      </c>
      <c r="AN25" s="522"/>
      <c r="AO25" s="12"/>
    </row>
    <row r="26" spans="1:41" ht="30" hidden="1" customHeight="1">
      <c r="A26" s="158">
        <f>OBRA!K25</f>
        <v>2013</v>
      </c>
      <c r="B26" s="1731"/>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'ADMININSTRACIÓN DIR - OBRA'!B27</f>
        <v>2012-2015</v>
      </c>
      <c r="AN26" s="522"/>
      <c r="AO26" s="12"/>
    </row>
    <row r="27" spans="1:41" ht="30" hidden="1" customHeight="1">
      <c r="A27" s="158">
        <f>OBRA!K26</f>
        <v>2013</v>
      </c>
      <c r="B27" s="1731"/>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'ADMININSTRACIÓN DIR - OBRA'!B28</f>
        <v>2012-2015</v>
      </c>
      <c r="AN27" s="522"/>
      <c r="AO27" s="12"/>
    </row>
    <row r="28" spans="1:41" ht="30" hidden="1" customHeight="1">
      <c r="A28" s="158">
        <f>OBRA!K27</f>
        <v>2013</v>
      </c>
      <c r="B28" s="1731"/>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'ADMININSTRACIÓN DIR - OBRA'!B29</f>
        <v>2012-2015</v>
      </c>
      <c r="AN28" s="522"/>
      <c r="AO28" s="12"/>
    </row>
    <row r="29" spans="1:41" ht="30" hidden="1" customHeight="1">
      <c r="A29" s="158">
        <f>OBRA!K28</f>
        <v>2013</v>
      </c>
      <c r="B29" s="1731"/>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'ADMININSTRACIÓN DIR - OBRA'!B30</f>
        <v>2012-2015</v>
      </c>
      <c r="AN29" s="522"/>
      <c r="AO29" s="12"/>
    </row>
    <row r="30" spans="1:41" ht="30" hidden="1" customHeight="1">
      <c r="A30" s="158">
        <f>OBRA!K29</f>
        <v>2013</v>
      </c>
      <c r="B30" s="1731"/>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'ADMININSTRACIÓN DIR - OBRA'!B31</f>
        <v>2012-2015</v>
      </c>
      <c r="AN30" s="522"/>
      <c r="AO30" s="12"/>
    </row>
    <row r="31" spans="1:41" ht="30" hidden="1" customHeight="1">
      <c r="A31" s="158">
        <f>OBRA!K30</f>
        <v>2013</v>
      </c>
      <c r="B31" s="1731"/>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'ADMININSTRACIÓN DIR - OBRA'!B32</f>
        <v>2012-2015</v>
      </c>
      <c r="AN31" s="522"/>
      <c r="AO31" s="12"/>
    </row>
    <row r="32" spans="1:41" ht="30" hidden="1" customHeight="1">
      <c r="A32" s="158">
        <f>OBRA!K31</f>
        <v>2013</v>
      </c>
      <c r="B32" s="1731"/>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'ADMININSTRACIÓN DIR - OBRA'!B33</f>
        <v>2012-2015</v>
      </c>
      <c r="AN32" s="522"/>
      <c r="AO32" s="12"/>
    </row>
    <row r="33" spans="1:41" ht="30" hidden="1" customHeight="1">
      <c r="A33" s="158">
        <f>OBRA!K32</f>
        <v>2013</v>
      </c>
      <c r="B33" s="1731"/>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'ADMININSTRACIÓN DIR - OBRA'!B34</f>
        <v>2012-2015</v>
      </c>
      <c r="AN33" s="522"/>
      <c r="AO33" s="12"/>
    </row>
    <row r="34" spans="1:41" ht="30" hidden="1" customHeight="1">
      <c r="A34" s="158">
        <f>OBRA!K33</f>
        <v>2013</v>
      </c>
      <c r="B34" s="1731"/>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'ADMININSTRACIÓN DIR - OBRA'!B35</f>
        <v>2012-2015</v>
      </c>
      <c r="AN34" s="522"/>
      <c r="AO34" s="12"/>
    </row>
    <row r="35" spans="1:41" ht="30" hidden="1" customHeight="1">
      <c r="A35" s="158">
        <f>OBRA!K34</f>
        <v>2013</v>
      </c>
      <c r="B35" s="1731"/>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'ADMININSTRACIÓN DIR - OBRA'!B36</f>
        <v>2012-2015</v>
      </c>
      <c r="AN35" s="522"/>
      <c r="AO35" s="12"/>
    </row>
    <row r="36" spans="1:41" ht="30" hidden="1" customHeight="1">
      <c r="A36" s="158">
        <f>OBRA!K35</f>
        <v>2013</v>
      </c>
      <c r="B36" s="1731"/>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'ADMININSTRACIÓN DIR - OBRA'!B37</f>
        <v>2012-2015</v>
      </c>
      <c r="AN36" s="522"/>
      <c r="AO36" s="12"/>
    </row>
    <row r="37" spans="1:41" ht="30" hidden="1" customHeight="1">
      <c r="A37" s="158">
        <f>OBRA!K36</f>
        <v>2013</v>
      </c>
      <c r="B37" s="1731"/>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'ADMININSTRACIÓN DIR - OBRA'!B38</f>
        <v>2012-2015</v>
      </c>
      <c r="AN37" s="522"/>
      <c r="AO37" s="12"/>
    </row>
    <row r="38" spans="1:41" ht="30" hidden="1" customHeight="1">
      <c r="A38" s="158">
        <f>OBRA!K37</f>
        <v>2013</v>
      </c>
      <c r="B38" s="1731"/>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'ADMININSTRACIÓN DIR - OBRA'!B39</f>
        <v>2012-2015</v>
      </c>
      <c r="AN38" s="522"/>
      <c r="AO38" s="12"/>
    </row>
    <row r="39" spans="1:41" ht="30" hidden="1" customHeight="1">
      <c r="A39" s="158">
        <f>OBRA!K38</f>
        <v>2013</v>
      </c>
      <c r="B39" s="1731"/>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'ADMININSTRACIÓN DIR - OBRA'!B40</f>
        <v>2012-2015</v>
      </c>
      <c r="AN39" s="522"/>
      <c r="AO39" s="12"/>
    </row>
    <row r="40" spans="1:41" ht="30" hidden="1" customHeight="1">
      <c r="A40" s="158">
        <f>OBRA!K39</f>
        <v>2013</v>
      </c>
      <c r="B40" s="1731"/>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'ADMININSTRACIÓN DIR - OBRA'!B41</f>
        <v>2012-2015</v>
      </c>
      <c r="AN40" s="522"/>
      <c r="AO40" s="12"/>
    </row>
    <row r="41" spans="1:41" ht="30" hidden="1" customHeight="1">
      <c r="A41" s="158">
        <f>OBRA!K40</f>
        <v>2013</v>
      </c>
      <c r="B41" s="1731"/>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'ADMININSTRACIÓN DIR - OBRA'!B42</f>
        <v>2012-2015</v>
      </c>
      <c r="AN41" s="522"/>
      <c r="AO41" s="12"/>
    </row>
    <row r="42" spans="1:41" ht="30" hidden="1" customHeight="1">
      <c r="A42" s="158">
        <f>OBRA!K41</f>
        <v>2013</v>
      </c>
      <c r="B42" s="1731"/>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'ADMININSTRACIÓN DIR - OBRA'!B43</f>
        <v>2012-2015</v>
      </c>
      <c r="AN42" s="522"/>
      <c r="AO42" s="12"/>
    </row>
    <row r="43" spans="1:41" s="300" customFormat="1" ht="45.75" hidden="1" thickTop="1">
      <c r="A43" s="301">
        <f>OBRA!K42</f>
        <v>2013</v>
      </c>
      <c r="B43" s="1730"/>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'ADMININSTRACIÓN DIR - OBRA'!B44</f>
        <v>2012-2015</v>
      </c>
      <c r="AN43" s="858"/>
      <c r="AO43" s="299"/>
    </row>
    <row r="44" spans="1:41" ht="30" hidden="1" customHeight="1">
      <c r="A44" s="158">
        <f>OBRA!K43</f>
        <v>2013</v>
      </c>
      <c r="B44" s="1731"/>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'ADMININSTRACIÓN DIR - OBRA'!B45</f>
        <v>2012-2015</v>
      </c>
      <c r="AN44" s="522"/>
      <c r="AO44" s="12"/>
    </row>
    <row r="45" spans="1:41" ht="30" hidden="1" customHeight="1">
      <c r="A45" s="158">
        <f>OBRA!K44</f>
        <v>2013</v>
      </c>
      <c r="B45" s="1731"/>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'ADMININSTRACIÓN DIR - OBRA'!B46</f>
        <v>2012-2015</v>
      </c>
      <c r="AN45" s="522"/>
      <c r="AO45" s="12"/>
    </row>
    <row r="46" spans="1:41" ht="30" hidden="1" customHeight="1">
      <c r="A46" s="158">
        <f>OBRA!K45</f>
        <v>2013</v>
      </c>
      <c r="B46" s="1731"/>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'ADMININSTRACIÓN DIR - OBRA'!B47</f>
        <v>2012-2015</v>
      </c>
      <c r="AN46" s="522"/>
      <c r="AO46" s="12"/>
    </row>
    <row r="47" spans="1:41" s="300" customFormat="1" ht="60.75" hidden="1" thickTop="1">
      <c r="A47" s="301">
        <f>OBRA!K46</f>
        <v>2013</v>
      </c>
      <c r="B47" s="1730"/>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'ADMININSTRACIÓN DIR - OBRA'!B48</f>
        <v>2012-2015</v>
      </c>
      <c r="AN47" s="858"/>
      <c r="AO47" s="299"/>
    </row>
    <row r="48" spans="1:41" ht="30" hidden="1" customHeight="1">
      <c r="A48" s="158">
        <f>OBRA!K47</f>
        <v>2013</v>
      </c>
      <c r="B48" s="1731"/>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'ADMININSTRACIÓN DIR - OBRA'!B49</f>
        <v>2012-2015</v>
      </c>
      <c r="AN48" s="522"/>
      <c r="AO48" s="12"/>
    </row>
    <row r="49" spans="1:41" s="300" customFormat="1" ht="45.75" hidden="1" thickTop="1">
      <c r="A49" s="301">
        <f>OBRA!K48</f>
        <v>2013</v>
      </c>
      <c r="B49" s="1730"/>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'ADMININSTRACIÓN DIR - OBRA'!B50</f>
        <v>2012-2015</v>
      </c>
      <c r="AN49" s="858"/>
      <c r="AO49" s="299"/>
    </row>
    <row r="50" spans="1:41" ht="30" hidden="1" customHeight="1">
      <c r="A50" s="158">
        <f>OBRA!K49</f>
        <v>2013</v>
      </c>
      <c r="B50" s="1731"/>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'ADMININSTRACIÓN DIR - OBRA'!B51</f>
        <v>2012-2015</v>
      </c>
      <c r="AN50" s="522"/>
      <c r="AO50" s="12"/>
    </row>
    <row r="51" spans="1:41" s="300" customFormat="1" ht="45.75" hidden="1" thickTop="1">
      <c r="A51" s="301">
        <f>OBRA!K50</f>
        <v>2013</v>
      </c>
      <c r="B51" s="1730"/>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'ADMININSTRACIÓN DIR - OBRA'!B52</f>
        <v>2012-2015</v>
      </c>
      <c r="AN51" s="858"/>
      <c r="AO51" s="299"/>
    </row>
    <row r="52" spans="1:41" ht="30" hidden="1" customHeight="1">
      <c r="A52" s="158">
        <f>OBRA!K51</f>
        <v>2013</v>
      </c>
      <c r="B52" s="1731"/>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'ADMININSTRACIÓN DIR - OBRA'!B53</f>
        <v>2012-2015</v>
      </c>
      <c r="AN52" s="522"/>
      <c r="AO52" s="12"/>
    </row>
    <row r="53" spans="1:41" ht="30" hidden="1" customHeight="1">
      <c r="A53" s="158">
        <f>OBRA!K52</f>
        <v>2013</v>
      </c>
      <c r="B53" s="1731"/>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'ADMININSTRACIÓN DIR - OBRA'!B54</f>
        <v>2012-2015</v>
      </c>
      <c r="AN53" s="522"/>
      <c r="AO53" s="12"/>
    </row>
    <row r="54" spans="1:41" ht="30" hidden="1" customHeight="1">
      <c r="A54" s="158">
        <f>OBRA!K53</f>
        <v>2013</v>
      </c>
      <c r="B54" s="1731"/>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'ADMININSTRACIÓN DIR - OBRA'!B55</f>
        <v>2012-2015</v>
      </c>
      <c r="AN54" s="522"/>
      <c r="AO54" s="12"/>
    </row>
    <row r="55" spans="1:41" ht="30" hidden="1" customHeight="1">
      <c r="A55" s="158">
        <f>OBRA!K54</f>
        <v>2013</v>
      </c>
      <c r="B55" s="1731"/>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'ADMININSTRACIÓN DIR - OBRA'!B56</f>
        <v>2012-2015</v>
      </c>
      <c r="AN55" s="522"/>
      <c r="AO55" s="12"/>
    </row>
    <row r="56" spans="1:41" ht="30" hidden="1" customHeight="1">
      <c r="A56" s="158">
        <f>OBRA!K55</f>
        <v>2013</v>
      </c>
      <c r="B56" s="1731"/>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'ADMININSTRACIÓN DIR - OBRA'!B57</f>
        <v>2012-2015</v>
      </c>
      <c r="AN56" s="522"/>
      <c r="AO56" s="12"/>
    </row>
    <row r="57" spans="1:41" ht="30" hidden="1" customHeight="1">
      <c r="A57" s="158">
        <f>OBRA!K56</f>
        <v>2013</v>
      </c>
      <c r="B57" s="1731"/>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'ADMININSTRACIÓN DIR - OBRA'!B58</f>
        <v>2012-2015</v>
      </c>
      <c r="AN57" s="522"/>
      <c r="AO57" s="12"/>
    </row>
    <row r="58" spans="1:41" ht="30" hidden="1" customHeight="1">
      <c r="A58" s="158">
        <f>OBRA!K57</f>
        <v>2013</v>
      </c>
      <c r="B58" s="1731"/>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'ADMININSTRACIÓN DIR - OBRA'!B59</f>
        <v>2012-2015</v>
      </c>
      <c r="AN58" s="522"/>
      <c r="AO58" s="12"/>
    </row>
    <row r="59" spans="1:41" ht="30" hidden="1" customHeight="1">
      <c r="A59" s="158">
        <f>OBRA!K58</f>
        <v>2013</v>
      </c>
      <c r="B59" s="1731"/>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'ADMININSTRACIÓN DIR - OBRA'!B60</f>
        <v>2012-2015</v>
      </c>
      <c r="AN59" s="522"/>
      <c r="AO59" s="12"/>
    </row>
    <row r="60" spans="1:41" s="300" customFormat="1" ht="150.75" hidden="1" customHeight="1">
      <c r="A60" s="301">
        <v>2014</v>
      </c>
      <c r="B60" s="1730"/>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'ADMININSTRACIÓN DIR - OBRA'!B61</f>
        <v>2012-2015</v>
      </c>
      <c r="AN60" s="493" t="s">
        <v>550</v>
      </c>
      <c r="AO60" s="299"/>
    </row>
    <row r="61" spans="1:41" s="300" customFormat="1" ht="113.25" hidden="1" customHeight="1">
      <c r="A61" s="301">
        <f>OBRA!K60</f>
        <v>2014</v>
      </c>
      <c r="B61" s="1730"/>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'ADMININSTRACIÓN DIR - OBRA'!B62</f>
        <v>2012-2015</v>
      </c>
      <c r="AN61" s="430" t="s">
        <v>550</v>
      </c>
      <c r="AO61" s="299"/>
    </row>
    <row r="62" spans="1:41" ht="30" hidden="1" customHeight="1">
      <c r="A62" s="158">
        <f>OBRA!K61</f>
        <v>2014</v>
      </c>
      <c r="B62" s="1731"/>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'ADMININSTRACIÓN DIR - OBRA'!B63</f>
        <v>2012-2015</v>
      </c>
      <c r="AN62" s="522"/>
      <c r="AO62" s="12"/>
    </row>
    <row r="63" spans="1:41" ht="30" hidden="1" customHeight="1">
      <c r="A63" s="158">
        <f>OBRA!K62</f>
        <v>2014</v>
      </c>
      <c r="B63" s="1731"/>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'ADMININSTRACIÓN DIR - OBRA'!B64</f>
        <v>2012-2015</v>
      </c>
      <c r="AN63" s="522"/>
      <c r="AO63" s="12"/>
    </row>
    <row r="64" spans="1:41" ht="30" hidden="1" customHeight="1">
      <c r="A64" s="158">
        <f>OBRA!K63</f>
        <v>2014</v>
      </c>
      <c r="B64" s="1731"/>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'ADMININSTRACIÓN DIR - OBRA'!B65</f>
        <v>2012-2015</v>
      </c>
      <c r="AN64" s="522"/>
      <c r="AO64" s="12"/>
    </row>
    <row r="65" spans="1:41" s="104" customFormat="1" ht="30" hidden="1" customHeight="1">
      <c r="A65" s="835">
        <f>OBRA!K64</f>
        <v>2014</v>
      </c>
      <c r="B65" s="1732"/>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'ADMININSTRACIÓN DIR - OBRA'!B66</f>
        <v>2012-2015</v>
      </c>
      <c r="AN65" s="840"/>
      <c r="AO65" s="103"/>
    </row>
    <row r="66" spans="1:41" s="104" customFormat="1" ht="30" hidden="1" customHeight="1">
      <c r="A66" s="835">
        <f>OBRA!K65</f>
        <v>2014</v>
      </c>
      <c r="B66" s="1732"/>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'ADMININSTRACIÓN DIR - OBRA'!B67</f>
        <v>2012-2015</v>
      </c>
      <c r="AN66" s="840"/>
      <c r="AO66" s="103"/>
    </row>
    <row r="67" spans="1:41" s="104" customFormat="1" ht="30" hidden="1" customHeight="1">
      <c r="A67" s="835">
        <f>OBRA!K66</f>
        <v>2014</v>
      </c>
      <c r="B67" s="1732"/>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'ADMININSTRACIÓN DIR - OBRA'!B68</f>
        <v>2012-2015</v>
      </c>
      <c r="AN67" s="840"/>
      <c r="AO67" s="103"/>
    </row>
    <row r="68" spans="1:41" s="104" customFormat="1" ht="30" hidden="1" customHeight="1">
      <c r="A68" s="835">
        <f>OBRA!K67</f>
        <v>2014</v>
      </c>
      <c r="B68" s="1732"/>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'ADMININSTRACIÓN DIR - OBRA'!B69</f>
        <v>2012-2015</v>
      </c>
      <c r="AN68" s="840"/>
      <c r="AO68" s="103"/>
    </row>
    <row r="69" spans="1:41" s="104" customFormat="1" ht="30" hidden="1" customHeight="1">
      <c r="A69" s="835">
        <v>2014</v>
      </c>
      <c r="B69" s="1732"/>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'ADMININSTRACIÓN DIR - OBRA'!B70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'ADMININSTRACIÓN DIR - OBRA'!B71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'ADMININSTRACIÓN DIR - OBRA'!B72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'ADMININSTRACIÓN DIR - OBRA'!B73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'ADMININSTRACIÓN DIR - OBRA'!B74</f>
        <v>2012-2015</v>
      </c>
      <c r="AN73" s="840"/>
      <c r="AO73" s="103"/>
    </row>
    <row r="74" spans="1:41" s="300" customFormat="1" ht="171" hidden="1" customHeight="1">
      <c r="A74" s="301">
        <f>OBRA!K73</f>
        <v>2014</v>
      </c>
      <c r="B74" s="1730"/>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'ADMININSTRACIÓN DIR - OBRA'!B75</f>
        <v>2012-2015</v>
      </c>
      <c r="AN74" s="441" t="s">
        <v>550</v>
      </c>
      <c r="AO74" s="299"/>
    </row>
    <row r="75" spans="1:41" ht="30" hidden="1" customHeight="1">
      <c r="A75" s="158">
        <f>OBRA!K74</f>
        <v>2014</v>
      </c>
      <c r="B75" s="1731"/>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'ADMININSTRACIÓN DIR - OBRA'!B76</f>
        <v>2012-2015</v>
      </c>
      <c r="AN75" s="522"/>
      <c r="AO75" s="12"/>
    </row>
    <row r="76" spans="1:41" ht="30" hidden="1" customHeight="1">
      <c r="A76" s="158">
        <f>OBRA!K75</f>
        <v>2014</v>
      </c>
      <c r="B76" s="1731"/>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'ADMININSTRACIÓN DIR - OBRA'!B77</f>
        <v>2012-2015</v>
      </c>
      <c r="AN76" s="522"/>
      <c r="AO76" s="12"/>
    </row>
    <row r="77" spans="1:41" ht="30" hidden="1" customHeight="1">
      <c r="A77" s="158">
        <f>OBRA!K76</f>
        <v>2014</v>
      </c>
      <c r="B77" s="1731"/>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'ADMININSTRACIÓN DIR - OBRA'!B78</f>
        <v>2012-2015</v>
      </c>
      <c r="AN77" s="522"/>
      <c r="AO77" s="12"/>
    </row>
    <row r="78" spans="1:41" ht="30" hidden="1" customHeight="1">
      <c r="A78" s="158">
        <f>OBRA!K77</f>
        <v>2014</v>
      </c>
      <c r="B78" s="1731"/>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'ADMININSTRACIÓN DIR - OBRA'!B79</f>
        <v>2012-2015</v>
      </c>
      <c r="AN78" s="522"/>
      <c r="AO78" s="12"/>
    </row>
    <row r="79" spans="1:41" ht="30" hidden="1" customHeight="1">
      <c r="A79" s="158">
        <f>OBRA!K78</f>
        <v>2014</v>
      </c>
      <c r="B79" s="1731"/>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'ADMININSTRACIÓN DIR - OBRA'!B80</f>
        <v>2012-2015</v>
      </c>
      <c r="AN79" s="522"/>
      <c r="AO79" s="12"/>
    </row>
    <row r="80" spans="1:41" ht="30" hidden="1" customHeight="1">
      <c r="A80" s="158">
        <f>OBRA!K79</f>
        <v>2014</v>
      </c>
      <c r="B80" s="1731"/>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'ADMININSTRACIÓN DIR - OBRA'!B81</f>
        <v>2012-2015</v>
      </c>
      <c r="AN80" s="522"/>
      <c r="AO80" s="12"/>
    </row>
    <row r="81" spans="1:41" s="300" customFormat="1" ht="169.5" hidden="1" customHeight="1">
      <c r="A81" s="301">
        <f>OBRA!K80</f>
        <v>2014</v>
      </c>
      <c r="B81" s="1730"/>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'ADMININSTRACIÓN DIR - OBRA'!B82</f>
        <v>2012-2015</v>
      </c>
      <c r="AN81" s="441" t="s">
        <v>550</v>
      </c>
      <c r="AO81" s="299"/>
    </row>
    <row r="82" spans="1:41" ht="30" hidden="1" customHeight="1">
      <c r="A82" s="158">
        <f>OBRA!K81</f>
        <v>2014</v>
      </c>
      <c r="B82" s="1731"/>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'ADMININSTRACIÓN DIR - OBRA'!B83</f>
        <v>2012-2015</v>
      </c>
      <c r="AN82" s="522"/>
      <c r="AO82" s="12"/>
    </row>
    <row r="83" spans="1:41" ht="30" hidden="1" customHeight="1">
      <c r="A83" s="158">
        <f>OBRA!K82</f>
        <v>2014</v>
      </c>
      <c r="B83" s="1731"/>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'ADMININSTRACIÓN DIR - OBRA'!B84</f>
        <v>2012-2015</v>
      </c>
      <c r="AN83" s="522"/>
      <c r="AO83" s="12"/>
    </row>
    <row r="84" spans="1:41" ht="30" hidden="1" customHeight="1">
      <c r="A84" s="158">
        <f>OBRA!K83</f>
        <v>2014</v>
      </c>
      <c r="B84" s="1731"/>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'ADMININSTRACIÓN DIR - OBRA'!B85</f>
        <v>2012-2015</v>
      </c>
      <c r="AN84" s="522"/>
      <c r="AO84" s="12"/>
    </row>
    <row r="85" spans="1:41" ht="30" hidden="1" customHeight="1">
      <c r="A85" s="158">
        <f>OBRA!K84</f>
        <v>2014</v>
      </c>
      <c r="B85" s="1731"/>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'ADMININSTRACIÓN DIR - OBRA'!B86</f>
        <v>2012-2015</v>
      </c>
      <c r="AN85" s="522"/>
      <c r="AO85" s="12"/>
    </row>
    <row r="86" spans="1:41" ht="30" hidden="1" customHeight="1">
      <c r="A86" s="158">
        <f>OBRA!K85</f>
        <v>2014</v>
      </c>
      <c r="B86" s="1731"/>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'ADMININSTRACIÓN DIR - OBRA'!B87</f>
        <v>2012-2015</v>
      </c>
      <c r="AN86" s="522"/>
      <c r="AO86" s="12"/>
    </row>
    <row r="87" spans="1:41" ht="30" hidden="1" customHeight="1">
      <c r="A87" s="158">
        <f>OBRA!K86</f>
        <v>2014</v>
      </c>
      <c r="B87" s="1731"/>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'ADMININSTRACIÓN DIR - OBRA'!B88</f>
        <v>2012-2015</v>
      </c>
      <c r="AN87" s="522"/>
      <c r="AO87" s="12"/>
    </row>
    <row r="88" spans="1:41" ht="30" hidden="1" customHeight="1">
      <c r="A88" s="158">
        <f>OBRA!K87</f>
        <v>2014</v>
      </c>
      <c r="B88" s="1731"/>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'ADMININSTRACIÓN DIR - OBRA'!B89</f>
        <v>2012-2015</v>
      </c>
      <c r="AN88" s="522"/>
      <c r="AO88" s="12"/>
    </row>
    <row r="89" spans="1:41" ht="30" hidden="1" customHeight="1">
      <c r="A89" s="158">
        <f>OBRA!K88</f>
        <v>2014</v>
      </c>
      <c r="B89" s="1731"/>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'ADMININSTRACIÓN DIR - OBRA'!B90</f>
        <v>2012-2015</v>
      </c>
      <c r="AN89" s="522"/>
      <c r="AO89" s="12"/>
    </row>
    <row r="90" spans="1:41" ht="30" hidden="1" customHeight="1">
      <c r="A90" s="158">
        <f>OBRA!K89</f>
        <v>2014</v>
      </c>
      <c r="B90" s="1731"/>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'ADMININSTRACIÓN DIR - OBRA'!B91</f>
        <v>2012-2015</v>
      </c>
      <c r="AN90" s="522"/>
      <c r="AO90" s="12"/>
    </row>
    <row r="91" spans="1:41" ht="30" hidden="1" customHeight="1">
      <c r="A91" s="158">
        <f>OBRA!K90</f>
        <v>2014</v>
      </c>
      <c r="B91" s="1731"/>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'ADMININSTRACIÓN DIR - OBRA'!B92</f>
        <v>2012-2015</v>
      </c>
      <c r="AN91" s="522"/>
      <c r="AO91" s="12"/>
    </row>
    <row r="92" spans="1:41" ht="30" hidden="1" customHeight="1">
      <c r="A92" s="158">
        <f>OBRA!K91</f>
        <v>2014</v>
      </c>
      <c r="B92" s="1731"/>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'ADMININSTRACIÓN DIR - OBRA'!B93</f>
        <v>2012-2015</v>
      </c>
      <c r="AN92" s="522"/>
      <c r="AO92" s="12"/>
    </row>
    <row r="93" spans="1:41" ht="45.75" hidden="1" thickTop="1">
      <c r="A93" s="158">
        <f>OBRA!K92</f>
        <v>2014</v>
      </c>
      <c r="B93" s="1731"/>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'ADMININSTRACIÓN DIR - OBRA'!B94</f>
        <v>2012-2015</v>
      </c>
      <c r="AN93" s="522"/>
      <c r="AO93" s="12"/>
    </row>
    <row r="94" spans="1:41" ht="45.75" hidden="1" thickTop="1">
      <c r="A94" s="158">
        <f>OBRA!K93</f>
        <v>2014</v>
      </c>
      <c r="B94" s="1731"/>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'ADMININSTRACIÓN DIR - OBRA'!B95</f>
        <v>2012-2015</v>
      </c>
      <c r="AN94" s="522"/>
      <c r="AO94" s="12"/>
    </row>
    <row r="95" spans="1:41" ht="45.75" hidden="1" thickTop="1">
      <c r="A95" s="158">
        <f>OBRA!K94</f>
        <v>2014</v>
      </c>
      <c r="B95" s="1731"/>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'ADMININSTRACIÓN DIR - OBRA'!B96</f>
        <v>2012-2015</v>
      </c>
      <c r="AN95" s="522"/>
      <c r="AO95" s="12"/>
    </row>
    <row r="96" spans="1:41" ht="30" hidden="1" customHeight="1">
      <c r="A96" s="158">
        <f>OBRA!K95</f>
        <v>2015</v>
      </c>
      <c r="B96" s="1731"/>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'ADMININSTRACIÓN DIR - OBRA'!B97</f>
        <v>2012-2015</v>
      </c>
      <c r="AN96" s="522"/>
      <c r="AO96" s="12"/>
    </row>
    <row r="97" spans="1:41" ht="30" hidden="1" customHeight="1">
      <c r="A97" s="158">
        <f>OBRA!K96</f>
        <v>2015</v>
      </c>
      <c r="B97" s="1731"/>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'ADMININSTRACIÓN DIR - OBRA'!B98</f>
        <v>2012-2015</v>
      </c>
      <c r="AN97" s="522"/>
      <c r="AO97" s="12"/>
    </row>
    <row r="98" spans="1:41" s="300" customFormat="1" ht="129" hidden="1" customHeight="1">
      <c r="A98" s="301">
        <f>OBRA!K97</f>
        <v>2015</v>
      </c>
      <c r="B98" s="1730"/>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'ADMININSTRACIÓN DIR - OBRA'!B99</f>
        <v>2012-2015</v>
      </c>
      <c r="AN98" s="885" t="s">
        <v>550</v>
      </c>
      <c r="AO98" s="299"/>
    </row>
    <row r="99" spans="1:41" ht="30" hidden="1" customHeight="1">
      <c r="A99" s="158">
        <f>OBRA!K98</f>
        <v>2015</v>
      </c>
      <c r="B99" s="1731"/>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'ADMININSTRACIÓN DIR - OBRA'!B100</f>
        <v>2012-2015</v>
      </c>
      <c r="AN99" s="522"/>
      <c r="AO99" s="12"/>
    </row>
    <row r="100" spans="1:41" ht="30" hidden="1" customHeight="1">
      <c r="A100" s="158">
        <f>OBRA!K99</f>
        <v>2015</v>
      </c>
      <c r="B100" s="1731"/>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'ADMININSTRACIÓN DIR - OBRA'!B101</f>
        <v>2012-2015</v>
      </c>
      <c r="AN100" s="522"/>
      <c r="AO100" s="12"/>
    </row>
    <row r="101" spans="1:41" ht="30" hidden="1" customHeight="1">
      <c r="A101" s="158">
        <f>OBRA!K100</f>
        <v>2015</v>
      </c>
      <c r="B101" s="1731"/>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'ADMININSTRACIÓN DIR - OBRA'!B102</f>
        <v>2012-2015</v>
      </c>
      <c r="AN101" s="522"/>
      <c r="AO101" s="12"/>
    </row>
    <row r="102" spans="1:41" ht="30" hidden="1" customHeight="1">
      <c r="A102" s="158">
        <f>OBRA!K101</f>
        <v>2015</v>
      </c>
      <c r="B102" s="1731"/>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'ADMININSTRACIÓN DIR - OBRA'!B103</f>
        <v>2012-2015</v>
      </c>
      <c r="AN102" s="522"/>
      <c r="AO102" s="12"/>
    </row>
    <row r="103" spans="1:41" s="104" customFormat="1" ht="30" hidden="1" customHeight="1">
      <c r="A103" s="835">
        <f>OBRA!K102</f>
        <v>2015</v>
      </c>
      <c r="B103" s="1732"/>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'ADMININSTRACIÓN DIR - OBRA'!B104</f>
        <v>2012-2015</v>
      </c>
      <c r="AN103" s="840"/>
      <c r="AO103" s="103"/>
    </row>
    <row r="104" spans="1:41" ht="30" hidden="1" customHeight="1">
      <c r="A104" s="158">
        <f>OBRA!K103</f>
        <v>2015</v>
      </c>
      <c r="B104" s="1731"/>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'ADMININSTRACIÓN DIR - OBRA'!B105</f>
        <v>2012-2015</v>
      </c>
      <c r="AN104" s="522"/>
      <c r="AO104" s="12"/>
    </row>
    <row r="105" spans="1:41" ht="30" hidden="1" customHeight="1">
      <c r="A105" s="158">
        <f>OBRA!K104</f>
        <v>2015</v>
      </c>
      <c r="B105" s="1731"/>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'ADMININSTRACIÓN DIR - OBRA'!B106</f>
        <v>2012-2015</v>
      </c>
      <c r="AN105" s="522"/>
      <c r="AO105" s="12"/>
    </row>
    <row r="106" spans="1:41" ht="30" hidden="1" customHeight="1">
      <c r="A106" s="158">
        <f>OBRA!K105</f>
        <v>2015</v>
      </c>
      <c r="B106" s="1731"/>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'ADMININSTRACIÓN DIR - OBRA'!B107</f>
        <v>2012-2015</v>
      </c>
      <c r="AN106" s="522"/>
      <c r="AO106" s="12"/>
    </row>
    <row r="107" spans="1:41" ht="30" hidden="1" customHeight="1">
      <c r="A107" s="158">
        <f>OBRA!K106</f>
        <v>2015</v>
      </c>
      <c r="B107" s="1731"/>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'ADMININSTRACIÓN DIR - OBRA'!B108</f>
        <v>2012-2015</v>
      </c>
      <c r="AN107" s="522"/>
      <c r="AO107" s="12"/>
    </row>
    <row r="108" spans="1:41" ht="30" hidden="1" customHeight="1">
      <c r="A108" s="158">
        <f>OBRA!K107</f>
        <v>2015</v>
      </c>
      <c r="B108" s="1731"/>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'ADMININSTRACIÓN DIR - OBRA'!B109</f>
        <v>2012-2015</v>
      </c>
      <c r="AN108" s="522"/>
      <c r="AO108" s="12"/>
    </row>
    <row r="109" spans="1:41" ht="30" hidden="1" customHeight="1">
      <c r="A109" s="158">
        <f>OBRA!K108</f>
        <v>2015</v>
      </c>
      <c r="B109" s="1731"/>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'ADMININSTRACIÓN DIR - OBRA'!B110</f>
        <v>2012-2015</v>
      </c>
      <c r="AN109" s="522"/>
      <c r="AO109" s="12"/>
    </row>
    <row r="110" spans="1:41" ht="30" hidden="1" customHeight="1">
      <c r="A110" s="158">
        <f>OBRA!K109</f>
        <v>2015</v>
      </c>
      <c r="B110" s="1731"/>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'ADMININSTRACIÓN DIR - OBRA'!B111</f>
        <v>2012-2015</v>
      </c>
      <c r="AN110" s="522"/>
      <c r="AO110" s="12"/>
    </row>
    <row r="111" spans="1:41" ht="30" hidden="1" customHeight="1">
      <c r="A111" s="158">
        <f>OBRA!K110</f>
        <v>2015</v>
      </c>
      <c r="B111" s="1731"/>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'ADMININSTRACIÓN DIR - OBRA'!B112</f>
        <v>2012-2015</v>
      </c>
      <c r="AN111" s="522"/>
      <c r="AO111" s="12"/>
    </row>
    <row r="112" spans="1:41" ht="30" hidden="1" customHeight="1">
      <c r="A112" s="158">
        <f>OBRA!K111</f>
        <v>2015</v>
      </c>
      <c r="B112" s="1731"/>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'ADMININSTRACIÓN DIR - OBRA'!B113</f>
        <v>2012-2015</v>
      </c>
      <c r="AN112" s="522"/>
      <c r="AO112" s="12"/>
    </row>
    <row r="113" spans="1:41" ht="30" hidden="1" customHeight="1">
      <c r="A113" s="158">
        <f>OBRA!K112</f>
        <v>2015</v>
      </c>
      <c r="B113" s="1731"/>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'ADMININSTRACIÓN DIR - OBRA'!B114</f>
        <v>2012-2015</v>
      </c>
      <c r="AN113" s="522"/>
      <c r="AO113" s="12"/>
    </row>
    <row r="114" spans="1:41" ht="30" hidden="1" customHeight="1">
      <c r="A114" s="158">
        <f>OBRA!K113</f>
        <v>2015</v>
      </c>
      <c r="B114" s="1731"/>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'ADMININSTRACIÓN DIR - OBRA'!B115</f>
        <v>2012-2015</v>
      </c>
      <c r="AN114" s="522"/>
      <c r="AO114" s="12"/>
    </row>
    <row r="115" spans="1:41" ht="30" hidden="1" customHeight="1">
      <c r="A115" s="158">
        <f>OBRA!K114</f>
        <v>2015</v>
      </c>
      <c r="B115" s="1731"/>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'ADMININSTRACIÓN DIR - OBRA'!B116</f>
        <v>2012-2015</v>
      </c>
      <c r="AN115" s="522"/>
      <c r="AO115" s="12"/>
    </row>
    <row r="116" spans="1:41" ht="30" hidden="1" customHeight="1">
      <c r="A116" s="158">
        <f>OBRA!K115</f>
        <v>2015</v>
      </c>
      <c r="B116" s="1731"/>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'ADMININSTRACIÓN DIR - OBRA'!B117</f>
        <v>2012-2015</v>
      </c>
      <c r="AN116" s="522"/>
      <c r="AO116" s="12"/>
    </row>
    <row r="117" spans="1:41" ht="30" hidden="1" customHeight="1">
      <c r="A117" s="158">
        <f>OBRA!K116</f>
        <v>2015</v>
      </c>
      <c r="B117" s="1731"/>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'ADMININSTRACIÓN DIR - OBRA'!B118</f>
        <v>2012-2015</v>
      </c>
      <c r="AN117" s="522"/>
      <c r="AO117" s="12"/>
    </row>
    <row r="118" spans="1:41" ht="30" hidden="1" customHeight="1">
      <c r="A118" s="158">
        <f>OBRA!K117</f>
        <v>2015</v>
      </c>
      <c r="B118" s="1731"/>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'ADMININSTRACIÓN DIR - OBRA'!B119</f>
        <v>2012-2015</v>
      </c>
      <c r="AN118" s="522"/>
      <c r="AO118" s="12"/>
    </row>
    <row r="119" spans="1:41" ht="30" hidden="1" customHeight="1">
      <c r="A119" s="158">
        <f>OBRA!K118</f>
        <v>2015</v>
      </c>
      <c r="B119" s="1731"/>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'ADMININSTRACIÓN DIR - OBRA'!B120</f>
        <v>2012-2015</v>
      </c>
      <c r="AN119" s="522"/>
      <c r="AO119" s="12"/>
    </row>
    <row r="120" spans="1:41" ht="30" hidden="1" customHeight="1">
      <c r="A120" s="158">
        <f>OBRA!K119</f>
        <v>2015</v>
      </c>
      <c r="B120" s="1731"/>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'ADMININSTRACIÓN DIR - OBRA'!B121</f>
        <v>2012-2015</v>
      </c>
      <c r="AN120" s="522"/>
      <c r="AO120" s="12"/>
    </row>
    <row r="121" spans="1:41" ht="30" hidden="1" customHeight="1">
      <c r="A121" s="158">
        <f>OBRA!K120</f>
        <v>2015</v>
      </c>
      <c r="B121" s="1731"/>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'ADMININSTRACIÓN DIR - OBRA'!B122</f>
        <v>2012-2015</v>
      </c>
      <c r="AN121" s="522"/>
      <c r="AO121" s="12"/>
    </row>
    <row r="122" spans="1:41" ht="30" hidden="1" customHeight="1">
      <c r="A122" s="158">
        <f>OBRA!K121</f>
        <v>2015</v>
      </c>
      <c r="B122" s="1731"/>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'ADMININSTRACIÓN DIR - OBRA'!B123</f>
        <v>2012-2015</v>
      </c>
      <c r="AN122" s="522"/>
      <c r="AO122" s="12"/>
    </row>
    <row r="123" spans="1:41" ht="30" hidden="1" customHeight="1">
      <c r="A123" s="158">
        <f>OBRA!K122</f>
        <v>2015</v>
      </c>
      <c r="B123" s="1731"/>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'ADMININSTRACIÓN DIR - OBRA'!B124</f>
        <v>2012-2015</v>
      </c>
      <c r="AN123" s="522"/>
      <c r="AO123" s="12"/>
    </row>
    <row r="124" spans="1:41" ht="30" hidden="1" customHeight="1">
      <c r="A124" s="158">
        <f>OBRA!K123</f>
        <v>2015</v>
      </c>
      <c r="B124" s="1731"/>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'ADMININSTRACIÓN DIR - OBRA'!B125</f>
        <v>2012-2015</v>
      </c>
      <c r="AN124" s="522"/>
      <c r="AO124" s="12"/>
    </row>
    <row r="125" spans="1:41" ht="30" hidden="1" customHeight="1">
      <c r="A125" s="158">
        <f>OBRA!K124</f>
        <v>2015</v>
      </c>
      <c r="B125" s="1731"/>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'ADMININSTRACIÓN DIR - OBRA'!B126</f>
        <v>2012-2015</v>
      </c>
      <c r="AN125" s="522"/>
      <c r="AO125" s="12"/>
    </row>
    <row r="126" spans="1:41" ht="30" hidden="1" customHeight="1">
      <c r="A126" s="158">
        <f>OBRA!K125</f>
        <v>2015</v>
      </c>
      <c r="B126" s="1731"/>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'ADMININSTRACIÓN DIR - OBRA'!B127</f>
        <v>2012-2015</v>
      </c>
      <c r="AN126" s="522"/>
      <c r="AO126" s="12"/>
    </row>
    <row r="127" spans="1:41" ht="30" hidden="1" customHeight="1">
      <c r="A127" s="158">
        <f>OBRA!K126</f>
        <v>2015</v>
      </c>
      <c r="B127" s="1731"/>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'ADMININSTRACIÓN DIR - OBRA'!B128</f>
        <v>2012-2015</v>
      </c>
      <c r="AN127" s="522"/>
      <c r="AO127" s="12"/>
    </row>
    <row r="128" spans="1:41" ht="30" hidden="1" customHeight="1">
      <c r="A128" s="158">
        <f>OBRA!K127</f>
        <v>2015</v>
      </c>
      <c r="B128" s="1731"/>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'ADMININSTRACIÓN DIR - OBRA'!B129</f>
        <v>2012-2015</v>
      </c>
      <c r="AN128" s="522"/>
      <c r="AO128" s="12"/>
    </row>
    <row r="129" spans="1:41" ht="30" hidden="1" customHeight="1">
      <c r="A129" s="158">
        <f>OBRA!K128</f>
        <v>2015</v>
      </c>
      <c r="B129" s="1731"/>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'ADMININSTRACIÓN DIR - OBRA'!B130</f>
        <v>2012-2015</v>
      </c>
      <c r="AN129" s="522"/>
      <c r="AO129" s="12"/>
    </row>
    <row r="130" spans="1:41" ht="30" hidden="1" customHeight="1">
      <c r="A130" s="158">
        <f>OBRA!K129</f>
        <v>2015</v>
      </c>
      <c r="B130" s="1731"/>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'ADMININSTRACIÓN DIR - OBRA'!B131</f>
        <v>2012-2015</v>
      </c>
      <c r="AN130" s="522"/>
      <c r="AO130" s="12"/>
    </row>
    <row r="131" spans="1:41" ht="30" hidden="1" customHeight="1">
      <c r="A131" s="158">
        <f>OBRA!K130</f>
        <v>2015</v>
      </c>
      <c r="B131" s="1731"/>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'ADMININSTRACIÓN DIR - OBRA'!B132</f>
        <v>2012-2015</v>
      </c>
      <c r="AN131" s="522"/>
      <c r="AO131" s="12"/>
    </row>
    <row r="132" spans="1:41" ht="30" hidden="1" customHeight="1">
      <c r="A132" s="158">
        <f>OBRA!K131</f>
        <v>2015</v>
      </c>
      <c r="B132" s="1731"/>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'ADMININSTRACIÓN DIR - OBRA'!B133</f>
        <v>2015-2018</v>
      </c>
      <c r="AN132" s="522"/>
      <c r="AO132" s="12"/>
    </row>
    <row r="133" spans="1:41" ht="30" hidden="1" customHeight="1">
      <c r="A133" s="158">
        <f>OBRA!K132</f>
        <v>2015</v>
      </c>
      <c r="B133" s="1731"/>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'ADMININSTRACIÓN DIR - OBRA'!B134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'ADMININSTRACIÓN DIR - OBRA'!B135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'ADMININSTRACIÓN DIR - OBRA'!B136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'ADMININSTRACIÓN DIR - OBRA'!B137</f>
        <v>2012-2015</v>
      </c>
      <c r="AN136" s="840"/>
      <c r="AO136" s="103"/>
    </row>
    <row r="137" spans="1:41" ht="30" hidden="1" customHeight="1">
      <c r="A137" s="158">
        <f>OBRA!K136</f>
        <v>2016</v>
      </c>
      <c r="B137" s="1731"/>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'ADMININSTRACIÓN DIR - OBRA'!B138</f>
        <v>2015-2018</v>
      </c>
      <c r="AN137" s="522"/>
      <c r="AO137" s="12"/>
    </row>
    <row r="138" spans="1:41" ht="30" hidden="1" customHeight="1">
      <c r="A138" s="158">
        <f>OBRA!K137</f>
        <v>2016</v>
      </c>
      <c r="B138" s="1731"/>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'ADMININSTRACIÓN DIR - OBRA'!B139</f>
        <v>2015-2018</v>
      </c>
      <c r="AN138" s="522"/>
      <c r="AO138" s="12"/>
    </row>
    <row r="139" spans="1:41" ht="30" hidden="1" customHeight="1">
      <c r="A139" s="158">
        <f>OBRA!K138</f>
        <v>2016</v>
      </c>
      <c r="B139" s="1731"/>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'ADMININSTRACIÓN DIR - OBRA'!B140</f>
        <v>2015-2018</v>
      </c>
      <c r="AN139" s="522"/>
      <c r="AO139" s="12"/>
    </row>
    <row r="140" spans="1:41" ht="30" hidden="1" customHeight="1">
      <c r="A140" s="158">
        <f>OBRA!K139</f>
        <v>2016</v>
      </c>
      <c r="B140" s="1731"/>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'ADMININSTRACIÓN DIR - OBRA'!B141</f>
        <v>2015-2018</v>
      </c>
      <c r="AN140" s="522"/>
      <c r="AO140" s="12"/>
    </row>
    <row r="141" spans="1:41" ht="30" hidden="1" customHeight="1">
      <c r="A141" s="158">
        <f>OBRA!K140</f>
        <v>2016</v>
      </c>
      <c r="B141" s="1731"/>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'ADMININSTRACIÓN DIR - OBRA'!B142</f>
        <v>2015-2018</v>
      </c>
      <c r="AN141" s="522"/>
      <c r="AO141" s="12"/>
    </row>
    <row r="142" spans="1:41" ht="30" hidden="1" customHeight="1">
      <c r="A142" s="158">
        <f>OBRA!K141</f>
        <v>2016</v>
      </c>
      <c r="B142" s="1731"/>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'ADMININSTRACIÓN DIR - OBRA'!B143</f>
        <v>2015-2018</v>
      </c>
      <c r="AN142" s="522"/>
      <c r="AO142" s="12"/>
    </row>
    <row r="143" spans="1:41" ht="30" hidden="1" customHeight="1">
      <c r="A143" s="158">
        <f>OBRA!K142</f>
        <v>2016</v>
      </c>
      <c r="B143" s="1731"/>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'ADMININSTRACIÓN DIR - OBRA'!B144</f>
        <v>2015-2018</v>
      </c>
      <c r="AN143" s="522"/>
      <c r="AO143" s="12"/>
    </row>
    <row r="144" spans="1:41" ht="30" hidden="1" customHeight="1">
      <c r="A144" s="158">
        <f>OBRA!K143</f>
        <v>2016</v>
      </c>
      <c r="B144" s="1731"/>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'ADMININSTRACIÓN DIR - OBRA'!B145</f>
        <v>2015-2018</v>
      </c>
      <c r="AN144" s="522"/>
      <c r="AO144" s="12"/>
    </row>
    <row r="145" spans="1:41" ht="30" hidden="1" customHeight="1">
      <c r="A145" s="158">
        <f>OBRA!K144</f>
        <v>2016</v>
      </c>
      <c r="B145" s="1731"/>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'ADMININSTRACIÓN DIR - OBRA'!B146</f>
        <v>2015-2018</v>
      </c>
      <c r="AN145" s="522"/>
      <c r="AO145" s="12"/>
    </row>
    <row r="146" spans="1:41" ht="30" hidden="1" customHeight="1">
      <c r="A146" s="158">
        <f>OBRA!K145</f>
        <v>2016</v>
      </c>
      <c r="B146" s="1731"/>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'ADMININSTRACIÓN DIR - OBRA'!B147</f>
        <v>2015-2018</v>
      </c>
      <c r="AN146" s="522"/>
      <c r="AO146" s="12"/>
    </row>
    <row r="147" spans="1:41" ht="30" hidden="1" customHeight="1">
      <c r="A147" s="158">
        <f>OBRA!K146</f>
        <v>2016</v>
      </c>
      <c r="B147" s="1731"/>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'ADMININSTRACIÓN DIR - OBRA'!B148</f>
        <v>2015-2018</v>
      </c>
      <c r="AN147" s="522"/>
      <c r="AO147" s="12"/>
    </row>
    <row r="148" spans="1:41" ht="30" hidden="1" customHeight="1">
      <c r="A148" s="158">
        <f>OBRA!K147</f>
        <v>2016</v>
      </c>
      <c r="B148" s="1731"/>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'ADMININSTRACIÓN DIR - OBRA'!B149</f>
        <v>2015-2018</v>
      </c>
      <c r="AN148" s="522"/>
      <c r="AO148" s="12"/>
    </row>
    <row r="149" spans="1:41" ht="30" hidden="1" customHeight="1">
      <c r="A149" s="158">
        <f>OBRA!K148</f>
        <v>2016</v>
      </c>
      <c r="B149" s="1731"/>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'ADMININSTRACIÓN DIR - OBRA'!B150</f>
        <v>2015-2018</v>
      </c>
      <c r="AN149" s="522"/>
      <c r="AO149" s="12"/>
    </row>
    <row r="150" spans="1:41" ht="30" hidden="1" customHeight="1">
      <c r="A150" s="158">
        <f>OBRA!K149</f>
        <v>2016</v>
      </c>
      <c r="B150" s="1731"/>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'ADMININSTRACIÓN DIR - OBRA'!B151</f>
        <v>2015-2018</v>
      </c>
      <c r="AN150" s="522"/>
      <c r="AO150" s="12"/>
    </row>
    <row r="151" spans="1:41" ht="30" hidden="1" customHeight="1">
      <c r="A151" s="158">
        <f>OBRA!K150</f>
        <v>2016</v>
      </c>
      <c r="B151" s="1731"/>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'ADMININSTRACIÓN DIR - OBRA'!B152</f>
        <v>2015-2018</v>
      </c>
      <c r="AN151" s="522"/>
      <c r="AO151" s="12"/>
    </row>
    <row r="152" spans="1:41" ht="30" hidden="1" customHeight="1">
      <c r="A152" s="158">
        <f>OBRA!K151</f>
        <v>2016</v>
      </c>
      <c r="B152" s="1731"/>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'ADMININSTRACIÓN DIR - OBRA'!B153</f>
        <v>2015-2018</v>
      </c>
      <c r="AN152" s="522"/>
      <c r="AO152" s="12"/>
    </row>
    <row r="153" spans="1:41" ht="30" hidden="1" customHeight="1">
      <c r="A153" s="158">
        <f>OBRA!K152</f>
        <v>2016</v>
      </c>
      <c r="B153" s="1731"/>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'ADMININSTRACIÓN DIR - OBRA'!B154</f>
        <v>2015-2018</v>
      </c>
      <c r="AN153" s="522"/>
      <c r="AO153" s="12"/>
    </row>
    <row r="154" spans="1:41" ht="30" hidden="1" customHeight="1">
      <c r="A154" s="158">
        <f>OBRA!K153</f>
        <v>2016</v>
      </c>
      <c r="B154" s="1731"/>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'ADMININSTRACIÓN DIR - OBRA'!B155</f>
        <v>2015-2018</v>
      </c>
      <c r="AN154" s="522"/>
      <c r="AO154" s="12"/>
    </row>
    <row r="155" spans="1:41" ht="30" hidden="1" customHeight="1">
      <c r="A155" s="158">
        <f>OBRA!K154</f>
        <v>2016</v>
      </c>
      <c r="B155" s="1731"/>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'ADMININSTRACIÓN DIR - OBRA'!B156</f>
        <v>2015-2018</v>
      </c>
      <c r="AN155" s="522"/>
      <c r="AO155" s="12"/>
    </row>
    <row r="156" spans="1:41" ht="30" hidden="1" customHeight="1">
      <c r="A156" s="158">
        <f>OBRA!K155</f>
        <v>2016</v>
      </c>
      <c r="B156" s="1731"/>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'ADMININSTRACIÓN DIR - OBRA'!B157</f>
        <v>2015-2018</v>
      </c>
      <c r="AN156" s="522"/>
      <c r="AO156" s="12"/>
    </row>
    <row r="157" spans="1:41" ht="30" hidden="1" customHeight="1">
      <c r="A157" s="158">
        <f>OBRA!K156</f>
        <v>2016</v>
      </c>
      <c r="B157" s="1731"/>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'ADMININSTRACIÓN DIR - OBRA'!B158</f>
        <v>2015-2018</v>
      </c>
      <c r="AN157" s="522"/>
      <c r="AO157" s="12"/>
    </row>
    <row r="158" spans="1:41" ht="30" hidden="1" customHeight="1">
      <c r="A158" s="158">
        <f>OBRA!K157</f>
        <v>2016</v>
      </c>
      <c r="B158" s="1731"/>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'ADMININSTRACIÓN DIR - OBRA'!B159</f>
        <v>2015-2018</v>
      </c>
      <c r="AN158" s="522"/>
      <c r="AO158" s="12"/>
    </row>
    <row r="159" spans="1:41" ht="30" hidden="1" customHeight="1">
      <c r="A159" s="158">
        <f>OBRA!K158</f>
        <v>2016</v>
      </c>
      <c r="B159" s="1731"/>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'ADMININSTRACIÓN DIR - OBRA'!B160</f>
        <v>2015-2018</v>
      </c>
      <c r="AN159" s="522"/>
      <c r="AO159" s="12"/>
    </row>
    <row r="160" spans="1:41" ht="30" hidden="1" customHeight="1">
      <c r="A160" s="158">
        <f>OBRA!K159</f>
        <v>2016</v>
      </c>
      <c r="B160" s="1731"/>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'ADMININSTRACIÓN DIR - OBRA'!B161</f>
        <v>2015-2018</v>
      </c>
      <c r="AN160" s="522"/>
      <c r="AO160" s="12"/>
    </row>
    <row r="161" spans="1:41" ht="30" hidden="1" customHeight="1">
      <c r="A161" s="158">
        <f>OBRA!K160</f>
        <v>2016</v>
      </c>
      <c r="B161" s="1731"/>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'ADMININSTRACIÓN DIR - OBRA'!B162</f>
        <v>2015-2018</v>
      </c>
      <c r="AN161" s="522"/>
      <c r="AO161" s="12"/>
    </row>
    <row r="162" spans="1:41" ht="30" hidden="1" customHeight="1">
      <c r="A162" s="158">
        <f>OBRA!K161</f>
        <v>2016</v>
      </c>
      <c r="B162" s="1731"/>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'ADMININSTRACIÓN DIR - OBRA'!B163</f>
        <v>2015-2018</v>
      </c>
      <c r="AN162" s="522"/>
      <c r="AO162" s="12"/>
    </row>
    <row r="163" spans="1:41" ht="30" hidden="1" customHeight="1">
      <c r="A163" s="158">
        <f>OBRA!K162</f>
        <v>2016</v>
      </c>
      <c r="B163" s="1731"/>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'ADMININSTRACIÓN DIR - OBRA'!B164</f>
        <v>2015-2018</v>
      </c>
      <c r="AN163" s="522"/>
      <c r="AO163" s="12"/>
    </row>
    <row r="164" spans="1:41" ht="30" hidden="1" customHeight="1">
      <c r="A164" s="158">
        <f>OBRA!K163</f>
        <v>2016</v>
      </c>
      <c r="B164" s="1731"/>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'ADMININSTRACIÓN DIR - OBRA'!B165</f>
        <v>2015-2018</v>
      </c>
      <c r="AN164" s="522"/>
      <c r="AO164" s="12"/>
    </row>
    <row r="165" spans="1:41" ht="30" hidden="1" customHeight="1">
      <c r="A165" s="158">
        <f>OBRA!K164</f>
        <v>2016</v>
      </c>
      <c r="B165" s="1731"/>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'ADMININSTRACIÓN DIR - OBRA'!B166</f>
        <v>2015-2018</v>
      </c>
      <c r="AN165" s="522"/>
      <c r="AO165" s="12"/>
    </row>
    <row r="166" spans="1:41" ht="30" hidden="1" customHeight="1">
      <c r="A166" s="158">
        <f>OBRA!K165</f>
        <v>2016</v>
      </c>
      <c r="B166" s="1731"/>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'ADMININSTRACIÓN DIR - OBRA'!B167</f>
        <v>2015-2018</v>
      </c>
      <c r="AN166" s="522"/>
      <c r="AO166" s="12"/>
    </row>
    <row r="167" spans="1:41" ht="30" hidden="1" customHeight="1">
      <c r="A167" s="158">
        <f>OBRA!K166</f>
        <v>2016</v>
      </c>
      <c r="B167" s="1731"/>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'ADMININSTRACIÓN DIR - OBRA'!B168</f>
        <v>2015-2018</v>
      </c>
      <c r="AN167" s="522"/>
      <c r="AO167" s="12"/>
    </row>
    <row r="168" spans="1:41" ht="30" hidden="1" customHeight="1">
      <c r="A168" s="158">
        <f>OBRA!K167</f>
        <v>2016</v>
      </c>
      <c r="B168" s="1731"/>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'ADMININSTRACIÓN DIR - OBRA'!B169</f>
        <v>2015-2018</v>
      </c>
      <c r="AN168" s="522"/>
      <c r="AO168" s="12"/>
    </row>
    <row r="169" spans="1:41" ht="30" hidden="1" customHeight="1">
      <c r="A169" s="158">
        <f>OBRA!K168</f>
        <v>2016</v>
      </c>
      <c r="B169" s="1731"/>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'ADMININSTRACIÓN DIR - OBRA'!B170</f>
        <v>2015-2018</v>
      </c>
      <c r="AN169" s="522"/>
      <c r="AO169" s="12"/>
    </row>
    <row r="170" spans="1:41" ht="30" hidden="1" customHeight="1">
      <c r="A170" s="158">
        <f>OBRA!K169</f>
        <v>2016</v>
      </c>
      <c r="B170" s="1731"/>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'ADMININSTRACIÓN DIR - OBRA'!B171</f>
        <v>2015-2018</v>
      </c>
      <c r="AN170" s="522"/>
      <c r="AO170" s="12"/>
    </row>
    <row r="171" spans="1:41" ht="30" hidden="1" customHeight="1">
      <c r="A171" s="158">
        <f>OBRA!K170</f>
        <v>2016</v>
      </c>
      <c r="B171" s="1731"/>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'ADMININSTRACIÓN DIR - OBRA'!B172</f>
        <v>2015-2018</v>
      </c>
      <c r="AN171" s="522"/>
      <c r="AO171" s="12"/>
    </row>
    <row r="172" spans="1:41" ht="30" hidden="1" customHeight="1">
      <c r="A172" s="158">
        <f>OBRA!K171</f>
        <v>2016</v>
      </c>
      <c r="B172" s="1731"/>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'ADMININSTRACIÓN DIR - OBRA'!B173</f>
        <v>2015-2018</v>
      </c>
      <c r="AN172" s="522"/>
      <c r="AO172" s="12"/>
    </row>
    <row r="173" spans="1:41" ht="30" hidden="1" customHeight="1">
      <c r="A173" s="158">
        <f>OBRA!K172</f>
        <v>2016</v>
      </c>
      <c r="B173" s="1731"/>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'ADMININSTRACIÓN DIR - OBRA'!B174</f>
        <v>2015-2018</v>
      </c>
      <c r="AN173" s="522"/>
      <c r="AO173" s="12"/>
    </row>
    <row r="174" spans="1:41" ht="30" hidden="1" customHeight="1">
      <c r="A174" s="158">
        <f>OBRA!K173</f>
        <v>2016</v>
      </c>
      <c r="B174" s="1731"/>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'ADMININSTRACIÓN DIR - OBRA'!B175</f>
        <v>2015-2018</v>
      </c>
      <c r="AN174" s="522"/>
      <c r="AO174" s="12"/>
    </row>
    <row r="175" spans="1:41" ht="30" hidden="1" customHeight="1">
      <c r="A175" s="158">
        <f>OBRA!K174</f>
        <v>-2015</v>
      </c>
      <c r="B175" s="1731"/>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'ADMININSTRACIÓN DIR - OBRA'!B176</f>
        <v>2015-2018</v>
      </c>
      <c r="AN175" s="522"/>
      <c r="AO175" s="12"/>
    </row>
    <row r="176" spans="1:41" ht="30" hidden="1" customHeight="1">
      <c r="A176" s="158">
        <f>OBRA!K175</f>
        <v>-2015</v>
      </c>
      <c r="B176" s="1731"/>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'ADMININSTRACIÓN DIR - OBRA'!B177</f>
        <v>2015-2018</v>
      </c>
      <c r="AN176" s="522"/>
      <c r="AO176" s="12"/>
    </row>
    <row r="177" spans="1:41" ht="30" hidden="1" customHeight="1">
      <c r="A177" s="158">
        <f>OBRA!K176</f>
        <v>2016</v>
      </c>
      <c r="B177" s="1731"/>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'ADMININSTRACIÓN DIR - OBRA'!B178</f>
        <v>2015-2018</v>
      </c>
      <c r="AN177" s="522"/>
      <c r="AO177" s="12"/>
    </row>
    <row r="178" spans="1:41" ht="30" hidden="1" customHeight="1">
      <c r="A178" s="158">
        <f>OBRA!K177</f>
        <v>2016</v>
      </c>
      <c r="B178" s="1731"/>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'ADMININSTRACIÓN DIR - OBRA'!B179</f>
        <v>2015-2018</v>
      </c>
      <c r="AN178" s="522"/>
      <c r="AO178" s="12"/>
    </row>
    <row r="179" spans="1:41" ht="30" hidden="1" customHeight="1">
      <c r="A179" s="158">
        <f>OBRA!K178</f>
        <v>2016</v>
      </c>
      <c r="B179" s="1731"/>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'ADMININSTRACIÓN DIR - OBRA'!B180</f>
        <v>2015-2018</v>
      </c>
      <c r="AN179" s="522"/>
      <c r="AO179" s="12"/>
    </row>
    <row r="180" spans="1:41" ht="30" hidden="1" customHeight="1">
      <c r="A180" s="158">
        <f>OBRA!K179</f>
        <v>2016</v>
      </c>
      <c r="B180" s="1731"/>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'ADMININSTRACIÓN DIR - OBRA'!B181</f>
        <v>2015-2018</v>
      </c>
      <c r="AN180" s="522"/>
      <c r="AO180" s="12"/>
    </row>
    <row r="181" spans="1:41" ht="317.25" hidden="1" customHeight="1">
      <c r="A181" s="158">
        <f>OBRA!K180</f>
        <v>2016</v>
      </c>
      <c r="B181" s="1731"/>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'ADMININSTRACIÓN DIR - OBRA'!B182</f>
        <v>2015-2018</v>
      </c>
      <c r="AN181" s="886" t="s">
        <v>550</v>
      </c>
      <c r="AO181" s="12"/>
    </row>
    <row r="182" spans="1:41" ht="30" hidden="1" customHeight="1">
      <c r="A182" s="158">
        <f>OBRA!K181</f>
        <v>2016</v>
      </c>
      <c r="B182" s="1731"/>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'ADMININSTRACIÓN DIR - OBRA'!B183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'ADMININSTRACIÓN DIR - OBRA'!B184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'ADMININSTRACIÓN DIR - OBRA'!B185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'ADMININSTRACIÓN DIR - OBRA'!B186</f>
        <v>2015-2018</v>
      </c>
      <c r="AN185" s="886" t="s">
        <v>550</v>
      </c>
      <c r="AO185" s="12"/>
    </row>
    <row r="186" spans="1:41" ht="321.75" hidden="1" customHeight="1">
      <c r="A186" s="158">
        <f>OBRA!K185</f>
        <v>2016</v>
      </c>
      <c r="B186" s="1731"/>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'ADMININSTRACIÓN DIR - OBRA'!B187</f>
        <v>2015-2018</v>
      </c>
      <c r="AN186" s="886" t="s">
        <v>550</v>
      </c>
      <c r="AO186" s="12"/>
    </row>
    <row r="187" spans="1:41" ht="301.5" hidden="1" customHeight="1">
      <c r="A187" s="158">
        <f>OBRA!K186</f>
        <v>2016</v>
      </c>
      <c r="B187" s="1731"/>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'ADMININSTRACIÓN DIR - OBRA'!B188</f>
        <v>2015-2018</v>
      </c>
      <c r="AN187" s="886" t="s">
        <v>550</v>
      </c>
      <c r="AO187" s="12"/>
    </row>
    <row r="188" spans="1:41" ht="30" hidden="1" customHeight="1">
      <c r="A188" s="158">
        <f>OBRA!K187</f>
        <v>2016</v>
      </c>
      <c r="B188" s="1731"/>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'ADMININSTRACIÓN DIR - OBRA'!B189</f>
        <v>2015-2018</v>
      </c>
      <c r="AN188" s="522"/>
      <c r="AO188" s="12"/>
    </row>
    <row r="189" spans="1:41" ht="30" hidden="1" customHeight="1">
      <c r="A189" s="158">
        <f>OBRA!K188</f>
        <v>2016</v>
      </c>
      <c r="B189" s="1731"/>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'ADMININSTRACIÓN DIR - OBRA'!B190</f>
        <v>2015-2018</v>
      </c>
      <c r="AN189" s="522"/>
      <c r="AO189" s="12"/>
    </row>
    <row r="190" spans="1:41" s="104" customFormat="1" ht="30" hidden="1" customHeight="1">
      <c r="A190" s="158">
        <f>OBRA!K189</f>
        <v>2016</v>
      </c>
      <c r="B190" s="1731"/>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'ADMININSTRACIÓN DIR - OBRA'!B191</f>
        <v>2015-2018</v>
      </c>
      <c r="AN190" s="522"/>
      <c r="AO190" s="103"/>
    </row>
    <row r="191" spans="1:41" s="104" customFormat="1" ht="30" hidden="1" customHeight="1">
      <c r="A191" s="835">
        <f>OBRA!K190</f>
        <v>2016</v>
      </c>
      <c r="B191" s="1732"/>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'ADMININSTRACIÓN DIR - OBRA'!B192</f>
        <v>2012-2015</v>
      </c>
      <c r="AN191" s="840"/>
      <c r="AO191" s="103"/>
    </row>
    <row r="192" spans="1:41" s="104" customFormat="1" ht="30" hidden="1" customHeight="1">
      <c r="A192" s="835">
        <f>OBRA!K191</f>
        <v>2016</v>
      </c>
      <c r="B192" s="1732"/>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'ADMININSTRACIÓN DIR - OBRA'!B193</f>
        <v>2012-2015</v>
      </c>
      <c r="AN192" s="840"/>
      <c r="AO192" s="103"/>
    </row>
    <row r="193" spans="1:41" ht="225.75" hidden="1" customHeight="1">
      <c r="A193" s="158">
        <f>OBRA!K192</f>
        <v>2016</v>
      </c>
      <c r="B193" s="1731"/>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'ADMININSTRACIÓN DIR - OBRA'!B194</f>
        <v>2015-2018</v>
      </c>
      <c r="AN193" s="886" t="s">
        <v>550</v>
      </c>
      <c r="AO193" s="12"/>
    </row>
    <row r="194" spans="1:41" ht="224.25" hidden="1" customHeight="1">
      <c r="A194" s="158">
        <f>OBRA!K193</f>
        <v>-2016</v>
      </c>
      <c r="B194" s="1731"/>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'ADMININSTRACIÓN DIR - OBRA'!B195</f>
        <v>2015-2018</v>
      </c>
      <c r="AN194" s="411" t="s">
        <v>550</v>
      </c>
      <c r="AO194" s="12"/>
    </row>
    <row r="195" spans="1:41" ht="30" hidden="1" customHeight="1">
      <c r="A195" s="158">
        <f>OBRA!K194</f>
        <v>2016</v>
      </c>
      <c r="B195" s="1731"/>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'ADMININSTRACIÓN DIR - OBRA'!B196</f>
        <v>2015-2018</v>
      </c>
      <c r="AN195" s="522"/>
      <c r="AO195" s="12"/>
    </row>
    <row r="196" spans="1:41" ht="30" hidden="1" customHeight="1">
      <c r="A196" s="158">
        <f>OBRA!K195</f>
        <v>2016</v>
      </c>
      <c r="B196" s="1731"/>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'ADMININSTRACIÓN DIR - OBRA'!B197</f>
        <v>2015-2018</v>
      </c>
      <c r="AN196" s="522"/>
      <c r="AO196" s="12"/>
    </row>
    <row r="197" spans="1:41" ht="30" hidden="1" customHeight="1">
      <c r="A197" s="158">
        <f>OBRA!K196</f>
        <v>2016</v>
      </c>
      <c r="B197" s="1731"/>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'ADMININSTRACIÓN DIR - OBRA'!B198</f>
        <v>2015-2018</v>
      </c>
      <c r="AN197" s="522"/>
      <c r="AO197" s="12"/>
    </row>
    <row r="198" spans="1:41" ht="30" hidden="1" customHeight="1">
      <c r="A198" s="158">
        <f>OBRA!K197</f>
        <v>2016</v>
      </c>
      <c r="B198" s="1731"/>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'ADMININSTRACIÓN DIR - OBRA'!B199</f>
        <v>2015-2018</v>
      </c>
      <c r="AN198" s="522"/>
      <c r="AO198" s="12"/>
    </row>
    <row r="199" spans="1:41" ht="30" hidden="1" customHeight="1">
      <c r="A199" s="158">
        <f>OBRA!K198</f>
        <v>2016</v>
      </c>
      <c r="B199" s="1731"/>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'ADMININSTRACIÓN DIR - OBRA'!B200</f>
        <v>2015-2018</v>
      </c>
      <c r="AN199" s="522"/>
      <c r="AO199" s="12"/>
    </row>
    <row r="200" spans="1:41" ht="30" hidden="1" customHeight="1">
      <c r="A200" s="158">
        <f>OBRA!K199</f>
        <v>2016</v>
      </c>
      <c r="B200" s="1731"/>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'ADMININSTRACIÓN DIR - OBRA'!B201</f>
        <v>2015-2018</v>
      </c>
      <c r="AN200" s="522"/>
      <c r="AO200" s="12"/>
    </row>
    <row r="201" spans="1:41" ht="30" hidden="1" customHeight="1">
      <c r="A201" s="158">
        <f>OBRA!K200</f>
        <v>2016</v>
      </c>
      <c r="B201" s="1731"/>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'ADMININSTRACIÓN DIR - OBRA'!B202</f>
        <v>2015-2018</v>
      </c>
      <c r="AN201" s="522"/>
      <c r="AO201" s="12"/>
    </row>
    <row r="202" spans="1:41" ht="30" hidden="1" customHeight="1">
      <c r="A202" s="158">
        <f>OBRA!K201</f>
        <v>2016</v>
      </c>
      <c r="B202" s="1731"/>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'ADMININSTRACIÓN DIR - OBRA'!B203</f>
        <v>2015-2018</v>
      </c>
      <c r="AN202" s="522"/>
      <c r="AO202" s="12"/>
    </row>
    <row r="203" spans="1:41" ht="30" hidden="1" customHeight="1">
      <c r="A203" s="158">
        <f>OBRA!K202</f>
        <v>2016</v>
      </c>
      <c r="B203" s="1731"/>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'ADMININSTRACIÓN DIR - OBRA'!B204</f>
        <v>2015-2018</v>
      </c>
      <c r="AN203" s="522"/>
      <c r="AO203" s="12"/>
    </row>
    <row r="204" spans="1:41" ht="30" hidden="1" customHeight="1">
      <c r="A204" s="158">
        <f>OBRA!K203</f>
        <v>2016</v>
      </c>
      <c r="B204" s="1731"/>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'ADMININSTRACIÓN DIR - OBRA'!B205</f>
        <v>2015-2018</v>
      </c>
      <c r="AN204" s="522"/>
      <c r="AO204" s="12"/>
    </row>
    <row r="205" spans="1:41" ht="30" hidden="1" customHeight="1">
      <c r="A205" s="158">
        <f>OBRA!K204</f>
        <v>2016</v>
      </c>
      <c r="B205" s="1731"/>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'ADMININSTRACIÓN DIR - OBRA'!B206</f>
        <v>2015-2018</v>
      </c>
      <c r="AN205" s="522"/>
      <c r="AO205" s="12"/>
    </row>
    <row r="206" spans="1:41" ht="30" hidden="1" customHeight="1">
      <c r="A206" s="158">
        <f>OBRA!K205</f>
        <v>2016</v>
      </c>
      <c r="B206" s="1731"/>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'ADMININSTRACIÓN DIR - OBRA'!B207</f>
        <v>2015-2018</v>
      </c>
      <c r="AN206" s="522"/>
      <c r="AO206" s="12"/>
    </row>
    <row r="207" spans="1:41" ht="43.5" hidden="1" customHeight="1">
      <c r="A207" s="158">
        <f>OBRA!K206</f>
        <v>2016</v>
      </c>
      <c r="B207" s="1731"/>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'ADMININSTRACIÓN DIR - OBRA'!B208</f>
        <v>2015-2018</v>
      </c>
      <c r="AN207" s="522"/>
      <c r="AO207" s="12"/>
    </row>
    <row r="208" spans="1:41" ht="30" hidden="1" customHeight="1">
      <c r="A208" s="158">
        <f>OBRA!K207</f>
        <v>2017</v>
      </c>
      <c r="B208" s="1731"/>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'ADMININSTRACIÓN DIR - OBRA'!B209</f>
        <v>2015-2018</v>
      </c>
      <c r="AN208" s="522"/>
      <c r="AO208" s="12"/>
    </row>
    <row r="209" spans="1:41" ht="30" hidden="1" customHeight="1">
      <c r="A209" s="158">
        <f>OBRA!K208</f>
        <v>2017</v>
      </c>
      <c r="B209" s="1731"/>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'ADMININSTRACIÓN DIR - OBRA'!B210</f>
        <v>2015-2018</v>
      </c>
      <c r="AN209" s="522"/>
      <c r="AO209" s="12"/>
    </row>
    <row r="210" spans="1:41" ht="30" hidden="1" customHeight="1">
      <c r="A210" s="158">
        <f>OBRA!K209</f>
        <v>2017</v>
      </c>
      <c r="B210" s="1731"/>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'ADMININSTRACIÓN DIR - OBRA'!B211</f>
        <v>2015-2018</v>
      </c>
      <c r="AN210" s="522"/>
      <c r="AO210" s="12"/>
    </row>
    <row r="211" spans="1:41" ht="30" hidden="1" customHeight="1">
      <c r="A211" s="158">
        <f>OBRA!K210</f>
        <v>2017</v>
      </c>
      <c r="B211" s="1731"/>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'ADMININSTRACIÓN DIR - OBRA'!B212</f>
        <v>2015-2018</v>
      </c>
      <c r="AN211" s="522"/>
      <c r="AO211" s="12"/>
    </row>
    <row r="212" spans="1:41" ht="30" hidden="1" customHeight="1">
      <c r="A212" s="158">
        <f>OBRA!K211</f>
        <v>2017</v>
      </c>
      <c r="B212" s="1731"/>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'ADMININSTRACIÓN DIR - OBRA'!B213</f>
        <v>2015-2018</v>
      </c>
      <c r="AN212" s="522"/>
      <c r="AO212" s="12"/>
    </row>
    <row r="213" spans="1:41" ht="30" hidden="1" customHeight="1">
      <c r="A213" s="158">
        <f>OBRA!K212</f>
        <v>2017</v>
      </c>
      <c r="B213" s="1731"/>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'ADMININSTRACIÓN DIR - OBRA'!B214</f>
        <v>2015-2018</v>
      </c>
      <c r="AN213" s="522"/>
      <c r="AO213" s="12"/>
    </row>
    <row r="214" spans="1:41" ht="30" hidden="1" customHeight="1">
      <c r="A214" s="158">
        <f>OBRA!K213</f>
        <v>2017</v>
      </c>
      <c r="B214" s="1731"/>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'ADMININSTRACIÓN DIR - OBRA'!B215</f>
        <v>2015-2018</v>
      </c>
      <c r="AN214" s="522"/>
      <c r="AO214" s="12"/>
    </row>
    <row r="215" spans="1:41" ht="30" hidden="1" customHeight="1">
      <c r="A215" s="158">
        <f>OBRA!K214</f>
        <v>2017</v>
      </c>
      <c r="B215" s="1731"/>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'ADMININSTRACIÓN DIR - OBRA'!B216</f>
        <v>2015-2018</v>
      </c>
      <c r="AN215" s="522"/>
      <c r="AO215" s="12"/>
    </row>
    <row r="216" spans="1:41" ht="30" hidden="1" customHeight="1">
      <c r="A216" s="158">
        <f>OBRA!K215</f>
        <v>2017</v>
      </c>
      <c r="B216" s="1731"/>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'ADMININSTRACIÓN DIR - OBRA'!B217</f>
        <v>2015-2018</v>
      </c>
      <c r="AN216" s="522"/>
      <c r="AO216" s="12"/>
    </row>
    <row r="217" spans="1:41" s="104" customFormat="1" ht="30" hidden="1" customHeight="1">
      <c r="A217" s="835">
        <f>OBRA!K216</f>
        <v>2017</v>
      </c>
      <c r="B217" s="1732"/>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'ADMININSTRACIÓN DIR - OBRA'!B218</f>
        <v>2012-2015</v>
      </c>
      <c r="AN217" s="840"/>
      <c r="AO217" s="103"/>
    </row>
    <row r="218" spans="1:41" ht="30" hidden="1" customHeight="1">
      <c r="A218" s="158">
        <f>OBRA!K217</f>
        <v>2017</v>
      </c>
      <c r="B218" s="1731"/>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'ADMININSTRACIÓN DIR - OBRA'!B219</f>
        <v>2015-2018</v>
      </c>
      <c r="AN218" s="522"/>
      <c r="AO218" s="12"/>
    </row>
    <row r="219" spans="1:41" ht="30" hidden="1" customHeight="1">
      <c r="A219" s="158">
        <f>OBRA!K218</f>
        <v>2017</v>
      </c>
      <c r="B219" s="1731"/>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'ADMININSTRACIÓN DIR - OBRA'!B220</f>
        <v>2015-2018</v>
      </c>
      <c r="AN219" s="522"/>
      <c r="AO219" s="12"/>
    </row>
    <row r="220" spans="1:41" ht="30" hidden="1" customHeight="1">
      <c r="A220" s="158">
        <f>OBRA!K219</f>
        <v>2017</v>
      </c>
      <c r="B220" s="1731"/>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'ADMININSTRACIÓN DIR - OBRA'!B221</f>
        <v>2015-2018</v>
      </c>
      <c r="AN220" s="522"/>
      <c r="AO220" s="12"/>
    </row>
    <row r="221" spans="1:41" ht="30" hidden="1" customHeight="1">
      <c r="A221" s="158">
        <f>OBRA!K220</f>
        <v>2017</v>
      </c>
      <c r="B221" s="1731"/>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'ADMININSTRACIÓN DIR - OBRA'!B222</f>
        <v>2015-2018</v>
      </c>
      <c r="AN221" s="522"/>
      <c r="AO221" s="12"/>
    </row>
    <row r="222" spans="1:41" ht="30" hidden="1" customHeight="1">
      <c r="A222" s="158">
        <f>OBRA!K221</f>
        <v>2017</v>
      </c>
      <c r="B222" s="1731"/>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'ADMININSTRACIÓN DIR - OBRA'!B223</f>
        <v>2015-2018</v>
      </c>
      <c r="AN222" s="522"/>
      <c r="AO222" s="12"/>
    </row>
    <row r="223" spans="1:41" s="104" customFormat="1" ht="30" hidden="1" customHeight="1">
      <c r="A223" s="835">
        <f>OBRA!K222</f>
        <v>2017</v>
      </c>
      <c r="B223" s="1732"/>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'ADMININSTRACIÓN DIR - OBRA'!B224</f>
        <v>2012-2015</v>
      </c>
      <c r="AN223" s="840"/>
      <c r="AO223" s="103"/>
    </row>
    <row r="224" spans="1:41" s="104" customFormat="1" ht="30" hidden="1" customHeight="1">
      <c r="A224" s="835">
        <f>OBRA!K223</f>
        <v>2017</v>
      </c>
      <c r="B224" s="1732"/>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'ADMININSTRACIÓN DIR - OBRA'!B225</f>
        <v>2012-2015</v>
      </c>
      <c r="AN224" s="840"/>
      <c r="AO224" s="103"/>
    </row>
    <row r="225" spans="1:41" ht="30" hidden="1" customHeight="1">
      <c r="A225" s="158">
        <f>OBRA!K224</f>
        <v>2017</v>
      </c>
      <c r="B225" s="1731"/>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'ADMININSTRACIÓN DIR - OBRA'!B226</f>
        <v>2015-2018</v>
      </c>
      <c r="AN225" s="522"/>
      <c r="AO225" s="12"/>
    </row>
    <row r="226" spans="1:41" s="104" customFormat="1" ht="30" hidden="1" customHeight="1">
      <c r="A226" s="835">
        <f>OBRA!K225</f>
        <v>2017</v>
      </c>
      <c r="B226" s="1732"/>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'ADMININSTRACIÓN DIR - OBRA'!B227</f>
        <v>2012-2015</v>
      </c>
      <c r="AN226" s="840"/>
      <c r="AO226" s="103"/>
    </row>
    <row r="227" spans="1:41" ht="30" hidden="1" customHeight="1">
      <c r="A227" s="158">
        <f>OBRA!K226</f>
        <v>2017</v>
      </c>
      <c r="B227" s="1731"/>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'ADMININSTRACIÓN DIR - OBRA'!B228</f>
        <v>2015-2018</v>
      </c>
      <c r="AN227" s="522"/>
      <c r="AO227" s="12"/>
    </row>
    <row r="228" spans="1:41" ht="30" hidden="1" customHeight="1">
      <c r="A228" s="158">
        <f>OBRA!K227</f>
        <v>2017</v>
      </c>
      <c r="B228" s="1731"/>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'ADMININSTRACIÓN DIR - OBRA'!B229</f>
        <v>2015-2018</v>
      </c>
      <c r="AN228" s="522"/>
      <c r="AO228" s="12"/>
    </row>
    <row r="229" spans="1:41" ht="30" hidden="1" customHeight="1">
      <c r="A229" s="158">
        <f>OBRA!K228</f>
        <v>2017</v>
      </c>
      <c r="B229" s="1731"/>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'ADMININSTRACIÓN DIR - OBRA'!B230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'ADMININSTRACIÓN DIR - OBRA'!B231</f>
        <v>2015-2018</v>
      </c>
      <c r="AN230" s="522"/>
      <c r="AO230" s="12"/>
    </row>
    <row r="231" spans="1:41" ht="30" hidden="1" customHeight="1">
      <c r="A231" s="158">
        <f>OBRA!K230</f>
        <v>2017</v>
      </c>
      <c r="B231" s="1731"/>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'ADMININSTRACIÓN DIR - OBRA'!B232</f>
        <v>2015-2018</v>
      </c>
      <c r="AN231" s="522"/>
      <c r="AO231" s="12"/>
    </row>
    <row r="232" spans="1:41" ht="30" hidden="1" customHeight="1">
      <c r="A232" s="158">
        <f>OBRA!K231</f>
        <v>2017</v>
      </c>
      <c r="B232" s="1731"/>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'ADMININSTRACIÓN DIR - OBRA'!B233</f>
        <v>2015-2018</v>
      </c>
      <c r="AN232" s="522"/>
      <c r="AO232" s="12"/>
    </row>
    <row r="233" spans="1:41" ht="30" hidden="1" customHeight="1">
      <c r="A233" s="158">
        <f>OBRA!K232</f>
        <v>2017</v>
      </c>
      <c r="B233" s="1731"/>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'ADMININSTRACIÓN DIR - OBRA'!B234</f>
        <v>2015-2018</v>
      </c>
      <c r="AN233" s="522"/>
      <c r="AO233" s="12"/>
    </row>
    <row r="234" spans="1:41" ht="30" hidden="1" customHeight="1">
      <c r="A234" s="158">
        <f>OBRA!K233</f>
        <v>2017</v>
      </c>
      <c r="B234" s="1731"/>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'ADMININSTRACIÓN DIR - OBRA'!B235</f>
        <v>2015-2018</v>
      </c>
      <c r="AN234" s="522"/>
      <c r="AO234" s="12"/>
    </row>
    <row r="235" spans="1:41" ht="30" hidden="1" customHeight="1">
      <c r="A235" s="158">
        <f>OBRA!K234</f>
        <v>2017</v>
      </c>
      <c r="B235" s="1731"/>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'ADMININSTRACIÓN DIR - OBRA'!B236</f>
        <v>2015-2018</v>
      </c>
      <c r="AN235" s="522"/>
      <c r="AO235" s="12"/>
    </row>
    <row r="236" spans="1:41" ht="30" hidden="1" customHeight="1">
      <c r="A236" s="158">
        <f>OBRA!K235</f>
        <v>2017</v>
      </c>
      <c r="B236" s="1731"/>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'ADMININSTRACIÓN DIR - OBRA'!B237</f>
        <v>2015-2018</v>
      </c>
      <c r="AN236" s="522"/>
      <c r="AO236" s="12"/>
    </row>
    <row r="237" spans="1:41" ht="30" hidden="1" customHeight="1">
      <c r="A237" s="158">
        <f>OBRA!K236</f>
        <v>2017</v>
      </c>
      <c r="B237" s="1731"/>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'ADMININSTRACIÓN DIR - OBRA'!B238</f>
        <v>2015-2018</v>
      </c>
      <c r="AN237" s="522"/>
      <c r="AO237" s="12"/>
    </row>
    <row r="238" spans="1:41" ht="30" hidden="1" customHeight="1">
      <c r="A238" s="158">
        <f>OBRA!K237</f>
        <v>2017</v>
      </c>
      <c r="B238" s="1731"/>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'ADMININSTRACIÓN DIR - OBRA'!B239</f>
        <v>2015-2018</v>
      </c>
      <c r="AN238" s="522"/>
      <c r="AO238" s="12"/>
    </row>
    <row r="239" spans="1:41" ht="30" hidden="1" customHeight="1">
      <c r="A239" s="158">
        <f>OBRA!K238</f>
        <v>2017</v>
      </c>
      <c r="B239" s="1731"/>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'ADMININSTRACIÓN DIR - OBRA'!B240</f>
        <v>2015-2018</v>
      </c>
      <c r="AN239" s="522"/>
      <c r="AO239" s="12"/>
    </row>
    <row r="240" spans="1:41" ht="30" hidden="1" customHeight="1">
      <c r="A240" s="158">
        <f>OBRA!K239</f>
        <v>2017</v>
      </c>
      <c r="B240" s="1731"/>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'ADMININSTRACIÓN DIR - OBRA'!B241</f>
        <v>2015-2018</v>
      </c>
      <c r="AN240" s="522"/>
      <c r="AO240" s="12"/>
    </row>
    <row r="241" spans="1:41" ht="30" hidden="1" customHeight="1">
      <c r="A241" s="158">
        <f>OBRA!K240</f>
        <v>2017</v>
      </c>
      <c r="B241" s="1731"/>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'ADMININSTRACIÓN DIR - OBRA'!B242</f>
        <v>2015-2018</v>
      </c>
      <c r="AN241" s="522"/>
      <c r="AO241" s="12"/>
    </row>
    <row r="242" spans="1:41" ht="30" hidden="1" customHeight="1">
      <c r="A242" s="158">
        <f>OBRA!K241</f>
        <v>2017</v>
      </c>
      <c r="B242" s="1731"/>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'ADMININSTRACIÓN DIR - OBRA'!B243</f>
        <v>2015-2018</v>
      </c>
      <c r="AN242" s="522"/>
      <c r="AO242" s="12"/>
    </row>
    <row r="243" spans="1:41" ht="30" hidden="1" customHeight="1">
      <c r="A243" s="158">
        <f>OBRA!K242</f>
        <v>2017</v>
      </c>
      <c r="B243" s="1731"/>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'ADMININSTRACIÓN DIR - OBRA'!B244</f>
        <v>2015-2018</v>
      </c>
      <c r="AN243" s="522"/>
      <c r="AO243" s="12"/>
    </row>
    <row r="244" spans="1:41" ht="30" hidden="1" customHeight="1">
      <c r="A244" s="158">
        <f>OBRA!K243</f>
        <v>2017</v>
      </c>
      <c r="B244" s="1731"/>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'ADMININSTRACIÓN DIR - OBRA'!B245</f>
        <v>2015-2018</v>
      </c>
      <c r="AN244" s="522"/>
      <c r="AO244" s="12"/>
    </row>
    <row r="245" spans="1:41" ht="30" hidden="1" customHeight="1">
      <c r="A245" s="158">
        <f>OBRA!K244</f>
        <v>2017</v>
      </c>
      <c r="B245" s="1731"/>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'ADMININSTRACIÓN DIR - OBRA'!B246</f>
        <v>2015-2018</v>
      </c>
      <c r="AN245" s="522"/>
      <c r="AO245" s="12"/>
    </row>
    <row r="246" spans="1:41" ht="30" hidden="1" customHeight="1">
      <c r="A246" s="158">
        <f>OBRA!K245</f>
        <v>2017</v>
      </c>
      <c r="B246" s="1731"/>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'ADMININSTRACIÓN DIR - OBRA'!B247</f>
        <v>2015-2018</v>
      </c>
      <c r="AN246" s="522"/>
      <c r="AO246" s="12"/>
    </row>
    <row r="247" spans="1:41" ht="30" hidden="1" customHeight="1">
      <c r="A247" s="158">
        <f>OBRA!K246</f>
        <v>2017</v>
      </c>
      <c r="B247" s="1731"/>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'ADMININSTRACIÓN DIR - OBRA'!B248</f>
        <v>2015-2018</v>
      </c>
      <c r="AN247" s="522"/>
      <c r="AO247" s="12"/>
    </row>
    <row r="248" spans="1:41" ht="30" hidden="1" customHeight="1">
      <c r="A248" s="158">
        <f>OBRA!K247</f>
        <v>2017</v>
      </c>
      <c r="B248" s="1731"/>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'ADMININSTRACIÓN DIR - OBRA'!B249</f>
        <v>2015-2018</v>
      </c>
      <c r="AN248" s="522"/>
      <c r="AO248" s="12"/>
    </row>
    <row r="249" spans="1:41" ht="30" hidden="1" customHeight="1">
      <c r="A249" s="158">
        <f>OBRA!K248</f>
        <v>2017</v>
      </c>
      <c r="B249" s="1731"/>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'ADMININSTRACIÓN DIR - OBRA'!B250</f>
        <v>2015-2018</v>
      </c>
      <c r="AN249" s="522"/>
      <c r="AO249" s="12"/>
    </row>
    <row r="250" spans="1:41" ht="30" hidden="1" customHeight="1">
      <c r="A250" s="158">
        <f>OBRA!K249</f>
        <v>2017</v>
      </c>
      <c r="B250" s="1731"/>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'ADMININSTRACIÓN DIR - OBRA'!B251</f>
        <v>2015-2018</v>
      </c>
      <c r="AN250" s="522"/>
      <c r="AO250" s="12"/>
    </row>
    <row r="251" spans="1:41" ht="30" hidden="1" customHeight="1">
      <c r="A251" s="158">
        <f>OBRA!K250</f>
        <v>2017</v>
      </c>
      <c r="B251" s="1731"/>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'ADMININSTRACIÓN DIR - OBRA'!B252</f>
        <v>2015-2018</v>
      </c>
      <c r="AN251" s="522"/>
      <c r="AO251" s="12"/>
    </row>
    <row r="252" spans="1:41" ht="30" hidden="1" customHeight="1">
      <c r="A252" s="158">
        <f>OBRA!K251</f>
        <v>2017</v>
      </c>
      <c r="B252" s="1731"/>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'ADMININSTRACIÓN DIR - OBRA'!B253</f>
        <v>2015-2018</v>
      </c>
      <c r="AN252" s="522"/>
      <c r="AO252" s="12"/>
    </row>
    <row r="253" spans="1:41" ht="30" hidden="1" customHeight="1">
      <c r="A253" s="158">
        <f>OBRA!K252</f>
        <v>2017</v>
      </c>
      <c r="B253" s="1731"/>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'ADMININSTRACIÓN DIR - OBRA'!B254</f>
        <v>2015-2018</v>
      </c>
      <c r="AN253" s="522"/>
      <c r="AO253" s="12"/>
    </row>
    <row r="254" spans="1:41" ht="30" hidden="1" customHeight="1">
      <c r="A254" s="158">
        <f>OBRA!K253</f>
        <v>2017</v>
      </c>
      <c r="B254" s="1731"/>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'ADMININSTRACIÓN DIR - OBRA'!B255</f>
        <v>2015-2018</v>
      </c>
      <c r="AN254" s="522"/>
      <c r="AO254" s="12"/>
    </row>
    <row r="255" spans="1:41" ht="30" hidden="1" customHeight="1">
      <c r="A255" s="158">
        <f>OBRA!K254</f>
        <v>2017</v>
      </c>
      <c r="B255" s="1731"/>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'ADMININSTRACIÓN DIR - OBRA'!B256</f>
        <v>2015-2018</v>
      </c>
      <c r="AN255" s="522"/>
      <c r="AO255" s="12"/>
    </row>
    <row r="256" spans="1:41" ht="30" hidden="1" customHeight="1">
      <c r="A256" s="158">
        <f>OBRA!K255</f>
        <v>2017</v>
      </c>
      <c r="B256" s="1731"/>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'ADMININSTRACIÓN DIR - OBRA'!B257</f>
        <v>2015-2018</v>
      </c>
      <c r="AN256" s="522"/>
      <c r="AO256" s="12"/>
    </row>
    <row r="257" spans="1:41" ht="30" hidden="1" customHeight="1">
      <c r="A257" s="158">
        <f>OBRA!K256</f>
        <v>2017</v>
      </c>
      <c r="B257" s="1731"/>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'ADMININSTRACIÓN DIR - OBRA'!B258</f>
        <v>2015-2018</v>
      </c>
      <c r="AN257" s="522"/>
      <c r="AO257" s="12"/>
    </row>
    <row r="258" spans="1:41" ht="30" hidden="1" customHeight="1">
      <c r="A258" s="158">
        <f>OBRA!K257</f>
        <v>2017</v>
      </c>
      <c r="B258" s="1731"/>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'ADMININSTRACIÓN DIR - OBRA'!B259</f>
        <v>2015-2018</v>
      </c>
      <c r="AN258" s="522"/>
      <c r="AO258" s="12"/>
    </row>
    <row r="259" spans="1:41" ht="30" hidden="1" customHeight="1">
      <c r="A259" s="158">
        <f>OBRA!K258</f>
        <v>2017</v>
      </c>
      <c r="B259" s="1731"/>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'ADMININSTRACIÓN DIR - OBRA'!B260</f>
        <v>2015-2018</v>
      </c>
      <c r="AN259" s="522"/>
      <c r="AO259" s="12"/>
    </row>
    <row r="260" spans="1:41" ht="30" hidden="1" customHeight="1">
      <c r="A260" s="158">
        <f>OBRA!K259</f>
        <v>2017</v>
      </c>
      <c r="B260" s="1731"/>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'ADMININSTRACIÓN DIR - OBRA'!B261</f>
        <v>2015-2018</v>
      </c>
      <c r="AN260" s="522"/>
      <c r="AO260" s="12"/>
    </row>
    <row r="261" spans="1:41" ht="30" hidden="1" customHeight="1">
      <c r="A261" s="158">
        <f>OBRA!K260</f>
        <v>2017</v>
      </c>
      <c r="B261" s="1731"/>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'ADMININSTRACIÓN DIR - OBRA'!B262</f>
        <v>2015-2018</v>
      </c>
      <c r="AN261" s="522"/>
      <c r="AO261" s="12"/>
    </row>
    <row r="262" spans="1:41" ht="30" hidden="1" customHeight="1">
      <c r="A262" s="158">
        <f>OBRA!K261</f>
        <v>2017</v>
      </c>
      <c r="B262" s="1731"/>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'ADMININSTRACIÓN DIR - OBRA'!B263</f>
        <v>2015-2018</v>
      </c>
      <c r="AN262" s="522"/>
      <c r="AO262" s="12"/>
    </row>
    <row r="263" spans="1:41" ht="30" hidden="1" customHeight="1">
      <c r="A263" s="158">
        <f>OBRA!K262</f>
        <v>2017</v>
      </c>
      <c r="B263" s="1731"/>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'ADMININSTRACIÓN DIR - OBRA'!B264</f>
        <v>2015-2018</v>
      </c>
      <c r="AN263" s="522"/>
      <c r="AO263" s="12"/>
    </row>
    <row r="264" spans="1:41" ht="30" hidden="1" customHeight="1">
      <c r="A264" s="158">
        <f>OBRA!K263</f>
        <v>2017</v>
      </c>
      <c r="B264" s="1731"/>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'ADMININSTRACIÓN DIR - OBRA'!B265</f>
        <v>2015-2018</v>
      </c>
      <c r="AN264" s="522"/>
      <c r="AO264" s="12"/>
    </row>
    <row r="265" spans="1:41" s="104" customFormat="1" ht="30" hidden="1" customHeight="1">
      <c r="A265" s="835">
        <f>OBRA!K264</f>
        <v>2017</v>
      </c>
      <c r="B265" s="1732"/>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'ADMININSTRACIÓN DIR - OBRA'!B266</f>
        <v>2012-2015</v>
      </c>
      <c r="AN265" s="840"/>
      <c r="AO265" s="103"/>
    </row>
    <row r="266" spans="1:41" ht="30" hidden="1" customHeight="1">
      <c r="A266" s="158">
        <f>OBRA!K265</f>
        <v>2017</v>
      </c>
      <c r="B266" s="1731"/>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'ADMININSTRACIÓN DIR - OBRA'!B267</f>
        <v>2015-2018</v>
      </c>
      <c r="AN266" s="522"/>
      <c r="AO266" s="12"/>
    </row>
    <row r="267" spans="1:41" ht="30" hidden="1" customHeight="1">
      <c r="A267" s="158">
        <f>OBRA!K266</f>
        <v>2017</v>
      </c>
      <c r="B267" s="1731"/>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'ADMININSTRACIÓN DIR - OBRA'!B268</f>
        <v>2015-2018</v>
      </c>
      <c r="AN267" s="522"/>
      <c r="AO267" s="12"/>
    </row>
    <row r="268" spans="1:41" ht="30" hidden="1" customHeight="1">
      <c r="A268" s="158">
        <f>OBRA!K267</f>
        <v>-2016</v>
      </c>
      <c r="B268" s="1731"/>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'ADMININSTRACIÓN DIR - OBRA'!B269</f>
        <v>2015-2018</v>
      </c>
      <c r="AN268" s="522"/>
      <c r="AO268" s="12"/>
    </row>
    <row r="269" spans="1:41" ht="30" hidden="1" customHeight="1">
      <c r="A269" s="158">
        <f>OBRA!K268</f>
        <v>2017</v>
      </c>
      <c r="B269" s="1731"/>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'ADMININSTRACIÓN DIR - OBRA'!B270</f>
        <v>2015-2018</v>
      </c>
      <c r="AN269" s="522"/>
      <c r="AO269" s="12"/>
    </row>
    <row r="270" spans="1:41" s="104" customFormat="1" ht="30" hidden="1" customHeight="1">
      <c r="A270" s="835">
        <f>OBRA!K269</f>
        <v>2017</v>
      </c>
      <c r="B270" s="1732"/>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'ADMININSTRACIÓN DIR - OBRA'!B271</f>
        <v>2012-2015</v>
      </c>
      <c r="AN270" s="840"/>
      <c r="AO270" s="103"/>
    </row>
    <row r="271" spans="1:41" ht="178.5" hidden="1" customHeight="1">
      <c r="A271" s="158">
        <f>OBRA!K270</f>
        <v>2017</v>
      </c>
      <c r="B271" s="1731"/>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'ADMININSTRACIÓN DIR - OBRA'!B272</f>
        <v>2015-2018</v>
      </c>
      <c r="AN271" s="879" t="s">
        <v>550</v>
      </c>
      <c r="AO271" s="12"/>
    </row>
    <row r="272" spans="1:41" ht="179.25" hidden="1" customHeight="1">
      <c r="A272" s="158">
        <f>OBRA!K271</f>
        <v>2017</v>
      </c>
      <c r="B272" s="1731"/>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'ADMININSTRACIÓN DIR - OBRA'!B273</f>
        <v>2015-2018</v>
      </c>
      <c r="AN272" s="879" t="s">
        <v>550</v>
      </c>
      <c r="AO272" s="12"/>
    </row>
    <row r="273" spans="1:41" ht="30" hidden="1" customHeight="1">
      <c r="A273" s="158">
        <f>OBRA!K272</f>
        <v>-2016</v>
      </c>
      <c r="B273" s="1731"/>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'ADMININSTRACIÓN DIR - OBRA'!B274</f>
        <v>2015-2018</v>
      </c>
      <c r="AN273" s="522"/>
      <c r="AO273" s="12"/>
    </row>
    <row r="274" spans="1:41" ht="30" hidden="1" customHeight="1">
      <c r="A274" s="158">
        <f>OBRA!K273</f>
        <v>2017</v>
      </c>
      <c r="B274" s="1731"/>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'ADMININSTRACIÓN DIR - OBRA'!B275</f>
        <v>2015-2018</v>
      </c>
      <c r="AN274" s="522"/>
      <c r="AO274" s="12"/>
    </row>
    <row r="275" spans="1:41" ht="30" hidden="1" customHeight="1">
      <c r="A275" s="158">
        <f>OBRA!K274</f>
        <v>2017</v>
      </c>
      <c r="B275" s="1731"/>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'ADMININSTRACIÓN DIR - OBRA'!B276</f>
        <v>2015-2018</v>
      </c>
      <c r="AN275" s="522"/>
      <c r="AO275" s="12"/>
    </row>
    <row r="276" spans="1:41" ht="30" hidden="1" customHeight="1">
      <c r="A276" s="158">
        <f>OBRA!K275</f>
        <v>2017</v>
      </c>
      <c r="B276" s="1731"/>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'ADMININSTRACIÓN DIR - OBRA'!B277</f>
        <v>2015-2018</v>
      </c>
      <c r="AN276" s="522"/>
      <c r="AO276" s="12"/>
    </row>
    <row r="277" spans="1:41" ht="30" hidden="1" customHeight="1">
      <c r="A277" s="158">
        <f>OBRA!K276</f>
        <v>2017</v>
      </c>
      <c r="B277" s="1731"/>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'ADMININSTRACIÓN DIR - OBRA'!B278</f>
        <v>2015-2018</v>
      </c>
      <c r="AN277" s="522"/>
      <c r="AO277" s="12"/>
    </row>
    <row r="278" spans="1:41" s="104" customFormat="1" ht="30" hidden="1" customHeight="1">
      <c r="A278" s="835">
        <f>OBRA!K277</f>
        <v>2017</v>
      </c>
      <c r="B278" s="1732"/>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'ADMININSTRACIÓN DIR - OBRA'!B279</f>
        <v>2012-2015</v>
      </c>
      <c r="AN278" s="840"/>
      <c r="AO278" s="103"/>
    </row>
    <row r="279" spans="1:41" ht="45.75" hidden="1" thickTop="1">
      <c r="A279" s="158">
        <f>OBRA!K278</f>
        <v>-2016</v>
      </c>
      <c r="B279" s="1731"/>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'ADMININSTRACIÓN DIR - OBRA'!B280</f>
        <v>2015-2018</v>
      </c>
      <c r="AN279" s="522"/>
      <c r="AO279" s="12"/>
    </row>
    <row r="280" spans="1:41" ht="30" hidden="1" customHeight="1">
      <c r="A280" s="158">
        <f>OBRA!K279</f>
        <v>2017</v>
      </c>
      <c r="B280" s="1731"/>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'ADMININSTRACIÓN DIR - OBRA'!B281</f>
        <v>2015-2018</v>
      </c>
      <c r="AN280" s="522"/>
      <c r="AO280" s="12"/>
    </row>
    <row r="281" spans="1:41" ht="30" hidden="1" customHeight="1">
      <c r="A281" s="158">
        <f>OBRA!K280</f>
        <v>2017</v>
      </c>
      <c r="B281" s="1731"/>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'ADMININSTRACIÓN DIR - OBRA'!B282</f>
        <v>2015-2018</v>
      </c>
      <c r="AN281" s="522"/>
      <c r="AO281" s="12"/>
    </row>
    <row r="282" spans="1:41" ht="30" hidden="1" customHeight="1">
      <c r="A282" s="158">
        <f>OBRA!K281</f>
        <v>2017</v>
      </c>
      <c r="B282" s="1731"/>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'ADMININSTRACIÓN DIR - OBRA'!B283</f>
        <v>2015-2018</v>
      </c>
      <c r="AN282" s="522"/>
      <c r="AO282" s="12"/>
    </row>
    <row r="283" spans="1:41" ht="30" hidden="1" customHeight="1">
      <c r="A283" s="158">
        <f>OBRA!K282</f>
        <v>2017</v>
      </c>
      <c r="B283" s="1731"/>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'ADMININSTRACIÓN DIR - OBRA'!B284</f>
        <v>2015-2018</v>
      </c>
      <c r="AN283" s="522"/>
      <c r="AO283" s="12"/>
    </row>
    <row r="284" spans="1:41" ht="30" hidden="1" customHeight="1">
      <c r="A284" s="158">
        <f>OBRA!K283</f>
        <v>2017</v>
      </c>
      <c r="B284" s="1731"/>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'ADMININSTRACIÓN DIR - OBRA'!B285</f>
        <v>2015-2018</v>
      </c>
      <c r="AN284" s="522"/>
      <c r="AO284" s="12"/>
    </row>
    <row r="285" spans="1:41" ht="30" hidden="1" customHeight="1">
      <c r="A285" s="158">
        <f>OBRA!K284</f>
        <v>2017</v>
      </c>
      <c r="B285" s="1731"/>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'ADMININSTRACIÓN DIR - OBRA'!B286</f>
        <v>2015-2018</v>
      </c>
      <c r="AN285" s="522"/>
      <c r="AO285" s="12"/>
    </row>
    <row r="286" spans="1:41" ht="30" hidden="1" customHeight="1">
      <c r="A286" s="158">
        <f>OBRA!K285</f>
        <v>2017</v>
      </c>
      <c r="B286" s="1731"/>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'ADMININSTRACIÓN DIR - OBRA'!B287</f>
        <v>2015-2018</v>
      </c>
      <c r="AN286" s="522"/>
      <c r="AO286" s="12"/>
    </row>
    <row r="287" spans="1:41" ht="30" hidden="1" customHeight="1">
      <c r="A287" s="158">
        <f>OBRA!K286</f>
        <v>2017</v>
      </c>
      <c r="B287" s="1731"/>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'ADMININSTRACIÓN DIR - OBRA'!B288</f>
        <v>2015-2018</v>
      </c>
      <c r="AN287" s="522"/>
      <c r="AO287" s="12"/>
    </row>
    <row r="288" spans="1:41" ht="30" hidden="1" customHeight="1">
      <c r="A288" s="158">
        <f>OBRA!K287</f>
        <v>2017</v>
      </c>
      <c r="B288" s="1731"/>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'ADMININSTRACIÓN DIR - OBRA'!B289</f>
        <v>2015-2018</v>
      </c>
      <c r="AN288" s="522"/>
      <c r="AO288" s="12"/>
    </row>
    <row r="289" spans="1:41" ht="30" hidden="1" customHeight="1">
      <c r="A289" s="158">
        <f>OBRA!K288</f>
        <v>2017</v>
      </c>
      <c r="B289" s="1731"/>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'ADMININSTRACIÓN DIR - OBRA'!B290</f>
        <v>2015-2018</v>
      </c>
      <c r="AN289" s="522"/>
      <c r="AO289" s="12"/>
    </row>
    <row r="290" spans="1:41" ht="30" hidden="1" customHeight="1">
      <c r="A290" s="158">
        <f>OBRA!K289</f>
        <v>2017</v>
      </c>
      <c r="B290" s="1731"/>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'ADMININSTRACIÓN DIR - OBRA'!B291</f>
        <v>2015-2018</v>
      </c>
      <c r="AN290" s="522"/>
      <c r="AO290" s="12"/>
    </row>
    <row r="291" spans="1:41" ht="30" hidden="1" customHeight="1">
      <c r="A291" s="158">
        <f>OBRA!K290</f>
        <v>2017</v>
      </c>
      <c r="B291" s="1731"/>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'ADMININSTRACIÓN DIR - OBRA'!B292</f>
        <v>2015-2018</v>
      </c>
      <c r="AN291" s="522"/>
      <c r="AO291" s="12"/>
    </row>
    <row r="292" spans="1:41" ht="30" hidden="1" customHeight="1">
      <c r="A292" s="158">
        <f>OBRA!K291</f>
        <v>2018</v>
      </c>
      <c r="B292" s="1731"/>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'ADMININSTRACIÓN DIR - OBRA'!B293</f>
        <v>2015-2018</v>
      </c>
      <c r="AN292" s="522"/>
      <c r="AO292" s="12"/>
    </row>
    <row r="293" spans="1:41" ht="30" hidden="1" customHeight="1">
      <c r="A293" s="158">
        <f>OBRA!K292</f>
        <v>2018</v>
      </c>
      <c r="B293" s="1731"/>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'ADMININSTRACIÓN DIR - OBRA'!B294</f>
        <v>2015-2018</v>
      </c>
      <c r="AN293" s="522"/>
      <c r="AO293" s="12"/>
    </row>
    <row r="294" spans="1:41" ht="30" hidden="1" customHeight="1">
      <c r="A294" s="158">
        <f>OBRA!K293</f>
        <v>2018</v>
      </c>
      <c r="B294" s="1731"/>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'ADMININSTRACIÓN DIR - OBRA'!B295</f>
        <v>2015-2018</v>
      </c>
      <c r="AN294" s="522"/>
      <c r="AO294" s="12"/>
    </row>
    <row r="295" spans="1:41" ht="30" hidden="1" customHeight="1">
      <c r="A295" s="158">
        <f>OBRA!K294</f>
        <v>2018</v>
      </c>
      <c r="B295" s="1731"/>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'ADMININSTRACIÓN DIR - OBRA'!B293</f>
        <v>2015-2018</v>
      </c>
      <c r="AN295" s="522"/>
      <c r="AO295" s="12"/>
    </row>
    <row r="296" spans="1:41" ht="30" hidden="1" customHeight="1">
      <c r="A296" s="158">
        <f>OBRA!K295</f>
        <v>2018</v>
      </c>
      <c r="B296" s="1731"/>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'ADMININSTRACIÓN DIR - OBRA'!B297</f>
        <v>2015-2018</v>
      </c>
      <c r="AN296" s="522"/>
      <c r="AO296" s="12"/>
    </row>
    <row r="297" spans="1:41" ht="30" hidden="1" customHeight="1">
      <c r="A297" s="158">
        <f>OBRA!K296</f>
        <v>2018</v>
      </c>
      <c r="B297" s="1731"/>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'ADMININSTRACIÓN DIR - OBRA'!B298</f>
        <v>2015-2018</v>
      </c>
      <c r="AN297" s="522"/>
      <c r="AO297" s="12"/>
    </row>
    <row r="298" spans="1:41" ht="30" hidden="1" customHeight="1">
      <c r="A298" s="158">
        <f>OBRA!K297</f>
        <v>2018</v>
      </c>
      <c r="B298" s="1731"/>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'ADMININSTRACIÓN DIR - OBRA'!B299</f>
        <v>2015-2018</v>
      </c>
      <c r="AN298" s="522"/>
      <c r="AO298" s="12"/>
    </row>
    <row r="299" spans="1:41" s="104" customFormat="1" ht="30" hidden="1" customHeight="1">
      <c r="A299" s="835">
        <f>OBRA!K298</f>
        <v>2018</v>
      </c>
      <c r="B299" s="1732"/>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'ADMININSTRACIÓN DIR - OBRA'!B300</f>
        <v>2015-2018</v>
      </c>
      <c r="AN299" s="840"/>
      <c r="AO299" s="103"/>
    </row>
    <row r="300" spans="1:41" ht="30" hidden="1" customHeight="1">
      <c r="A300" s="158">
        <f>OBRA!K299</f>
        <v>2018</v>
      </c>
      <c r="B300" s="1731"/>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'ADMININSTRACIÓN DIR - OBRA'!B301</f>
        <v>2015-2018</v>
      </c>
      <c r="AN300" s="522"/>
      <c r="AO300" s="12"/>
    </row>
    <row r="301" spans="1:41" s="104" customFormat="1" ht="30" hidden="1" customHeight="1">
      <c r="A301" s="835">
        <f>OBRA!K300</f>
        <v>2018</v>
      </c>
      <c r="B301" s="1732"/>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'ADMININSTRACIÓN DIR - OBRA'!B302</f>
        <v>2015-2018</v>
      </c>
      <c r="AN301" s="840"/>
      <c r="AO301" s="103"/>
    </row>
    <row r="302" spans="1:41" s="104" customFormat="1" ht="30" hidden="1" customHeight="1">
      <c r="A302" s="835">
        <f>OBRA!K301</f>
        <v>2018</v>
      </c>
      <c r="B302" s="1732"/>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'ADMININSTRACIÓN DIR - OBRA'!B303</f>
        <v>2015-2018</v>
      </c>
      <c r="AN302" s="840"/>
      <c r="AO302" s="103"/>
    </row>
    <row r="303" spans="1:41" s="104" customFormat="1" ht="30" hidden="1" customHeight="1">
      <c r="A303" s="835">
        <f>OBRA!K302</f>
        <v>2018</v>
      </c>
      <c r="B303" s="1732"/>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'ADMININSTRACIÓN DIR - OBRA'!B304</f>
        <v>2015-2018</v>
      </c>
      <c r="AN303" s="840"/>
      <c r="AO303" s="103"/>
    </row>
    <row r="304" spans="1:41" ht="30" hidden="1" customHeight="1">
      <c r="A304" s="158">
        <f>OBRA!K303</f>
        <v>2018</v>
      </c>
      <c r="B304" s="1731"/>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'ADMININSTRACIÓN DIR - OBRA'!B305</f>
        <v>2015-2018</v>
      </c>
      <c r="AN304" s="522"/>
      <c r="AO304" s="12"/>
    </row>
    <row r="305" spans="1:41" ht="30" hidden="1" customHeight="1">
      <c r="A305" s="158">
        <f>OBRA!K304</f>
        <v>2018</v>
      </c>
      <c r="B305" s="1731"/>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'ADMININSTRACIÓN DIR - OBRA'!B306</f>
        <v>2015-2018</v>
      </c>
      <c r="AN305" s="522"/>
      <c r="AO305" s="12"/>
    </row>
    <row r="306" spans="1:41" ht="30" hidden="1" customHeight="1">
      <c r="A306" s="158">
        <f>OBRA!K305</f>
        <v>2018</v>
      </c>
      <c r="B306" s="1731"/>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'ADMININSTRACIÓN DIR - OBRA'!B307</f>
        <v>2015-2018</v>
      </c>
      <c r="AN306" s="522"/>
      <c r="AO306" s="12"/>
    </row>
    <row r="307" spans="1:41" ht="30" hidden="1" customHeight="1">
      <c r="A307" s="158">
        <f>OBRA!K306</f>
        <v>2018</v>
      </c>
      <c r="B307" s="1731"/>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'ADMININSTRACIÓN DIR - OBRA'!B308</f>
        <v>2015-2018</v>
      </c>
      <c r="AN307" s="522"/>
      <c r="AO307" s="12"/>
    </row>
    <row r="308" spans="1:41" ht="30" hidden="1" customHeight="1">
      <c r="A308" s="158">
        <f>OBRA!K307</f>
        <v>2018</v>
      </c>
      <c r="B308" s="1731"/>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'ADMININSTRACIÓN DIR - OBRA'!B309</f>
        <v>2015-2018</v>
      </c>
      <c r="AN308" s="522"/>
      <c r="AO308" s="12"/>
    </row>
    <row r="309" spans="1:41" s="104" customFormat="1" ht="30" hidden="1" customHeight="1">
      <c r="A309" s="835">
        <f>OBRA!K308</f>
        <v>2018</v>
      </c>
      <c r="B309" s="1732"/>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'ADMININSTRACIÓN DIR - OBRA'!B310</f>
        <v>2015-2018</v>
      </c>
      <c r="AN309" s="840"/>
      <c r="AO309" s="103"/>
    </row>
    <row r="310" spans="1:41" ht="30" hidden="1" customHeight="1">
      <c r="A310" s="158">
        <f>OBRA!K309</f>
        <v>2018</v>
      </c>
      <c r="B310" s="1731"/>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'ADMININSTRACIÓN DIR - OBRA'!B311</f>
        <v>2015-2018</v>
      </c>
      <c r="AN310" s="522"/>
      <c r="AO310" s="12"/>
    </row>
    <row r="311" spans="1:41" ht="30" hidden="1" customHeight="1">
      <c r="A311" s="158">
        <f>OBRA!K310</f>
        <v>2018</v>
      </c>
      <c r="B311" s="1731"/>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'ADMININSTRACIÓN DIR - OBRA'!B312</f>
        <v>2015-2018</v>
      </c>
      <c r="AN311" s="522"/>
      <c r="AO311" s="12"/>
    </row>
    <row r="312" spans="1:41" ht="30" hidden="1" customHeight="1">
      <c r="A312" s="158">
        <f>OBRA!K311</f>
        <v>2018</v>
      </c>
      <c r="B312" s="1731"/>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'ADMININSTRACIÓN DIR - OBRA'!B313</f>
        <v>2015-2018</v>
      </c>
      <c r="AN312" s="522"/>
      <c r="AO312" s="12"/>
    </row>
    <row r="313" spans="1:41" s="104" customFormat="1" ht="30" hidden="1" customHeight="1">
      <c r="A313" s="835">
        <f>OBRA!K312</f>
        <v>2018</v>
      </c>
      <c r="B313" s="1732"/>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'ADMININSTRACIÓN DIR - OBRA'!B314</f>
        <v>2015-2018</v>
      </c>
      <c r="AN313" s="840"/>
      <c r="AO313" s="103"/>
    </row>
    <row r="314" spans="1:41" ht="30" hidden="1" customHeight="1">
      <c r="A314" s="158">
        <f>OBRA!K313</f>
        <v>2018</v>
      </c>
      <c r="B314" s="1731"/>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'ADMININSTRACIÓN DIR - OBRA'!B315</f>
        <v>2015-2018</v>
      </c>
      <c r="AN314" s="522"/>
      <c r="AO314" s="12"/>
    </row>
    <row r="315" spans="1:41" ht="30" hidden="1" customHeight="1">
      <c r="A315" s="158">
        <f>OBRA!K314</f>
        <v>2018</v>
      </c>
      <c r="B315" s="1731"/>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'ADMININSTRACIÓN DIR - OBRA'!B316</f>
        <v>2015-2018</v>
      </c>
      <c r="AN315" s="522"/>
      <c r="AO315" s="12"/>
    </row>
    <row r="316" spans="1:41" ht="213.75" hidden="1" customHeight="1">
      <c r="A316" s="158">
        <f>OBRA!K315</f>
        <v>2018</v>
      </c>
      <c r="B316" s="1731"/>
      <c r="C316" s="591" t="s">
        <v>3692</v>
      </c>
      <c r="D316" s="146" t="s">
        <v>2433</v>
      </c>
      <c r="E316" s="148" t="s">
        <v>2434</v>
      </c>
      <c r="F316" s="148" t="s">
        <v>2435</v>
      </c>
      <c r="G316" s="549" t="s">
        <v>3692</v>
      </c>
      <c r="H316" s="572">
        <f>OBRA!AG315</f>
        <v>43192</v>
      </c>
      <c r="I316" s="549" t="s">
        <v>3692</v>
      </c>
      <c r="J316" s="573">
        <f>OBRA!AH315</f>
        <v>43200</v>
      </c>
      <c r="K316" s="549" t="s">
        <v>3692</v>
      </c>
      <c r="L316" s="572">
        <f>OBRA!AI315</f>
        <v>43200</v>
      </c>
      <c r="M316" s="549" t="s">
        <v>3692</v>
      </c>
      <c r="N316" s="572">
        <f>OBRA!AJ315</f>
        <v>43207</v>
      </c>
      <c r="O316" s="166" t="s">
        <v>3815</v>
      </c>
      <c r="P316" s="577">
        <v>0.41666666666666669</v>
      </c>
      <c r="Q316" s="549" t="s">
        <v>3692</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3491</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3819</v>
      </c>
      <c r="AI316" s="212" t="s">
        <v>2313</v>
      </c>
      <c r="AJ316" s="243" t="s">
        <v>1427</v>
      </c>
      <c r="AK316" s="467" t="s">
        <v>3692</v>
      </c>
      <c r="AL316" s="692" t="s">
        <v>3692</v>
      </c>
      <c r="AM316" s="869" t="str">
        <f>'ADMININSTRACIÓN DIR - OBRA'!B317</f>
        <v>2015-2018</v>
      </c>
      <c r="AN316" s="410" t="s">
        <v>550</v>
      </c>
      <c r="AO316" s="12"/>
    </row>
    <row r="317" spans="1:41" ht="205.5" hidden="1" customHeight="1">
      <c r="A317" s="158">
        <f>OBRA!K316</f>
        <v>2018</v>
      </c>
      <c r="B317" s="1731"/>
      <c r="C317" s="591" t="s">
        <v>3693</v>
      </c>
      <c r="D317" s="146" t="s">
        <v>2433</v>
      </c>
      <c r="E317" s="148" t="s">
        <v>2434</v>
      </c>
      <c r="F317" s="148" t="s">
        <v>2435</v>
      </c>
      <c r="G317" s="549" t="s">
        <v>3693</v>
      </c>
      <c r="H317" s="572">
        <f>OBRA!AG316</f>
        <v>43192</v>
      </c>
      <c r="I317" s="549" t="s">
        <v>3693</v>
      </c>
      <c r="J317" s="573">
        <f>OBRA!AH316</f>
        <v>43200</v>
      </c>
      <c r="K317" s="549" t="s">
        <v>3693</v>
      </c>
      <c r="L317" s="572">
        <f>OBRA!AI316</f>
        <v>43200</v>
      </c>
      <c r="M317" s="549" t="s">
        <v>3693</v>
      </c>
      <c r="N317" s="572">
        <f>OBRA!AJ316</f>
        <v>43207</v>
      </c>
      <c r="O317" s="166" t="s">
        <v>3815</v>
      </c>
      <c r="P317" s="577">
        <v>0.41666666666666669</v>
      </c>
      <c r="Q317" s="549" t="s">
        <v>3693</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3491</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3819</v>
      </c>
      <c r="AI317" s="212" t="s">
        <v>2313</v>
      </c>
      <c r="AJ317" s="243" t="s">
        <v>1427</v>
      </c>
      <c r="AK317" s="467" t="s">
        <v>3693</v>
      </c>
      <c r="AL317" s="549" t="s">
        <v>3693</v>
      </c>
      <c r="AM317" s="870" t="str">
        <f>'ADMININSTRACIÓN DIR - OBRA'!B318</f>
        <v>2015-2018</v>
      </c>
      <c r="AN317" s="410" t="s">
        <v>550</v>
      </c>
      <c r="AO317" s="12"/>
    </row>
    <row r="318" spans="1:41" ht="30" hidden="1" customHeight="1">
      <c r="A318" s="158">
        <f>OBRA!K317</f>
        <v>2018</v>
      </c>
      <c r="B318" s="1731"/>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'ADMININSTRACIÓN DIR - OBRA'!B319</f>
        <v>2015-2018</v>
      </c>
      <c r="AN318" s="522"/>
      <c r="AO318" s="12"/>
    </row>
    <row r="319" spans="1:41" ht="30" hidden="1" customHeight="1">
      <c r="A319" s="158">
        <f>OBRA!K318</f>
        <v>2018</v>
      </c>
      <c r="B319" s="1731"/>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'ADMININSTRACIÓN DIR - OBRA'!B320</f>
        <v>2015-2018</v>
      </c>
      <c r="AN319" s="522"/>
      <c r="AO319" s="12"/>
    </row>
    <row r="320" spans="1:41" ht="30" hidden="1" customHeight="1">
      <c r="A320" s="158">
        <f>OBRA!K319</f>
        <v>2018</v>
      </c>
      <c r="B320" s="1731"/>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'ADMININSTRACIÓN DIR - OBRA'!B321</f>
        <v>2015-2018</v>
      </c>
      <c r="AN320" s="522"/>
      <c r="AO320" s="12"/>
    </row>
    <row r="321" spans="1:41" s="104" customFormat="1" ht="30" hidden="1" customHeight="1">
      <c r="A321" s="835">
        <f>OBRA!K320</f>
        <v>2018</v>
      </c>
      <c r="B321" s="1732"/>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'ADMININSTRACIÓN DIR - OBRA'!B322</f>
        <v>2015-2018</v>
      </c>
      <c r="AN321" s="840"/>
      <c r="AO321" s="103"/>
    </row>
    <row r="322" spans="1:41" ht="30" hidden="1" customHeight="1">
      <c r="A322" s="158">
        <f>OBRA!K321</f>
        <v>2018</v>
      </c>
      <c r="B322" s="1731"/>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'ADMININSTRACIÓN DIR - OBRA'!B323</f>
        <v>2015-2018</v>
      </c>
      <c r="AN322" s="522"/>
      <c r="AO322" s="12"/>
    </row>
    <row r="323" spans="1:41" ht="30" hidden="1" customHeight="1">
      <c r="A323" s="158">
        <f>OBRA!K322</f>
        <v>2018</v>
      </c>
      <c r="B323" s="1731"/>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'ADMININSTRACIÓN DIR - OBRA'!B324</f>
        <v>2015-2018</v>
      </c>
      <c r="AN323" s="522"/>
      <c r="AO323" s="12"/>
    </row>
    <row r="324" spans="1:41" ht="30" hidden="1" customHeight="1">
      <c r="A324" s="158">
        <f>OBRA!K323</f>
        <v>2018</v>
      </c>
      <c r="B324" s="1731"/>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'ADMININSTRACIÓN DIR - OBRA'!B325</f>
        <v>2015-2018</v>
      </c>
      <c r="AN324" s="522"/>
      <c r="AO324" s="12"/>
    </row>
    <row r="325" spans="1:41" ht="30" hidden="1" customHeight="1">
      <c r="A325" s="158">
        <f>OBRA!K324</f>
        <v>2018</v>
      </c>
      <c r="B325" s="1731"/>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'ADMININSTRACIÓN DIR - OBRA'!B326</f>
        <v>2015-2018</v>
      </c>
      <c r="AN325" s="522"/>
      <c r="AO325" s="12"/>
    </row>
    <row r="326" spans="1:41" ht="30" hidden="1" customHeight="1">
      <c r="A326" s="158">
        <f>OBRA!K325</f>
        <v>2018</v>
      </c>
      <c r="B326" s="1731"/>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'ADMININSTRACIÓN DIR - OBRA'!B327</f>
        <v>2015-2018</v>
      </c>
      <c r="AN326" s="522"/>
      <c r="AO326" s="12"/>
    </row>
    <row r="327" spans="1:41" ht="187.5" hidden="1" customHeight="1">
      <c r="A327" s="158">
        <f>OBRA!K326</f>
        <v>2018</v>
      </c>
      <c r="B327" s="1731"/>
      <c r="C327" s="591" t="s">
        <v>3694</v>
      </c>
      <c r="D327" s="146" t="s">
        <v>2433</v>
      </c>
      <c r="E327" s="148" t="s">
        <v>2434</v>
      </c>
      <c r="F327" s="148" t="s">
        <v>2435</v>
      </c>
      <c r="G327" s="549" t="s">
        <v>3694</v>
      </c>
      <c r="H327" s="572">
        <f>OBRA!AG326</f>
        <v>43192</v>
      </c>
      <c r="I327" s="549" t="s">
        <v>3694</v>
      </c>
      <c r="J327" s="573">
        <f>OBRA!AH326</f>
        <v>43200</v>
      </c>
      <c r="K327" s="549" t="s">
        <v>3694</v>
      </c>
      <c r="L327" s="572">
        <f>OBRA!AI326</f>
        <v>43200</v>
      </c>
      <c r="M327" s="549" t="s">
        <v>3694</v>
      </c>
      <c r="N327" s="572">
        <f>OBRA!AJ326</f>
        <v>43203</v>
      </c>
      <c r="O327" s="166" t="s">
        <v>3815</v>
      </c>
      <c r="P327" s="577" t="s">
        <v>2439</v>
      </c>
      <c r="Q327" s="549" t="s">
        <v>3694</v>
      </c>
      <c r="R327" s="206">
        <f>OBRA!AK326</f>
        <v>43207</v>
      </c>
      <c r="S327" s="882" t="s">
        <v>2440</v>
      </c>
      <c r="T327" s="148" t="str">
        <f>OBRA!X326</f>
        <v>ING. SERGIO CABRERA</v>
      </c>
      <c r="U327" s="55" t="str">
        <f>OBRA!Y326</f>
        <v>ING. JUAN MANUEL GARCIA ESCOTO</v>
      </c>
      <c r="V327" s="1483"/>
      <c r="W327" s="33" t="str">
        <f>OBRA!O326</f>
        <v>GMJ 013C OP/2018</v>
      </c>
      <c r="X327" s="465" t="s">
        <v>3492</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3819</v>
      </c>
      <c r="AI327" s="212" t="s">
        <v>2313</v>
      </c>
      <c r="AJ327" s="467" t="s">
        <v>3694</v>
      </c>
      <c r="AK327" s="467" t="s">
        <v>3694</v>
      </c>
      <c r="AL327" s="467" t="s">
        <v>3694</v>
      </c>
      <c r="AM327" s="869" t="str">
        <f>'ADMININSTRACIÓN DIR - OBRA'!B328</f>
        <v>2015-2018</v>
      </c>
      <c r="AN327" s="410" t="s">
        <v>550</v>
      </c>
      <c r="AO327" s="12"/>
    </row>
    <row r="328" spans="1:41" s="104" customFormat="1" ht="30" hidden="1" customHeight="1">
      <c r="A328" s="835">
        <f>OBRA!K327</f>
        <v>2018</v>
      </c>
      <c r="B328" s="1732"/>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'ADMININSTRACIÓN DIR - OBRA'!B329</f>
        <v>2015-2018</v>
      </c>
      <c r="AN328" s="840"/>
      <c r="AO328" s="103"/>
    </row>
    <row r="329" spans="1:41" ht="30" hidden="1" customHeight="1">
      <c r="A329" s="158">
        <f>OBRA!K328</f>
        <v>2018</v>
      </c>
      <c r="B329" s="1731"/>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'ADMININSTRACIÓN DIR - OBRA'!B330</f>
        <v>2015-2018</v>
      </c>
      <c r="AN329" s="522"/>
      <c r="AO329" s="12"/>
    </row>
    <row r="330" spans="1:41" ht="30" hidden="1" customHeight="1">
      <c r="A330" s="158">
        <f>OBRA!K329</f>
        <v>2018</v>
      </c>
      <c r="B330" s="1731"/>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'ADMININSTRACIÓN DIR - OBRA'!B331</f>
        <v>2015-2018</v>
      </c>
      <c r="AN330" s="522"/>
      <c r="AO330" s="12"/>
    </row>
    <row r="331" spans="1:41" ht="30" hidden="1" customHeight="1">
      <c r="A331" s="158">
        <f>OBRA!K330</f>
        <v>2018</v>
      </c>
      <c r="B331" s="1731"/>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'ADMININSTRACIÓN DIR - OBRA'!B332</f>
        <v>2015-2018</v>
      </c>
      <c r="AN331" s="522"/>
      <c r="AO331" s="12"/>
    </row>
    <row r="332" spans="1:41" ht="30" hidden="1" customHeight="1">
      <c r="A332" s="158">
        <f>OBRA!K331</f>
        <v>2018</v>
      </c>
      <c r="B332" s="1731"/>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'ADMININSTRACIÓN DIR - OBRA'!B333</f>
        <v>2015-2018</v>
      </c>
      <c r="AN332" s="522"/>
      <c r="AO332" s="12"/>
    </row>
    <row r="333" spans="1:41" ht="30" hidden="1" customHeight="1">
      <c r="A333" s="158">
        <f>OBRA!K332</f>
        <v>2018</v>
      </c>
      <c r="B333" s="1731"/>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'ADMININSTRACIÓN DIR - OBRA'!B334</f>
        <v>2015-2018</v>
      </c>
      <c r="AN333" s="522"/>
      <c r="AO333" s="12"/>
    </row>
    <row r="334" spans="1:41" ht="30" hidden="1" customHeight="1">
      <c r="A334" s="158">
        <f>OBRA!K333</f>
        <v>2018</v>
      </c>
      <c r="B334" s="1731"/>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'ADMININSTRACIÓN DIR - OBRA'!B335</f>
        <v>2015-2018</v>
      </c>
      <c r="AN334" s="522"/>
      <c r="AO334" s="12"/>
    </row>
    <row r="335" spans="1:41" ht="30" hidden="1" customHeight="1">
      <c r="A335" s="158">
        <f>OBRA!K334</f>
        <v>2018</v>
      </c>
      <c r="B335" s="1731"/>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'ADMININSTRACIÓN DIR - OBRA'!B336</f>
        <v>2015-2018</v>
      </c>
      <c r="AN335" s="522"/>
      <c r="AO335" s="12"/>
    </row>
    <row r="336" spans="1:41" ht="30" hidden="1" customHeight="1">
      <c r="A336" s="158">
        <f>OBRA!K335</f>
        <v>2018</v>
      </c>
      <c r="B336" s="1731"/>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'ADMININSTRACIÓN DIR - OBRA'!B337</f>
        <v>2015-2018</v>
      </c>
      <c r="AN336" s="522"/>
      <c r="AO336" s="12"/>
    </row>
    <row r="337" spans="1:41" ht="30" hidden="1" customHeight="1">
      <c r="A337" s="158">
        <f>OBRA!K336</f>
        <v>2018</v>
      </c>
      <c r="B337" s="1731"/>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'ADMININSTRACIÓN DIR - OBRA'!B338</f>
        <v>2015-2018</v>
      </c>
      <c r="AN337" s="522"/>
      <c r="AO337" s="12"/>
    </row>
    <row r="338" spans="1:41" ht="190.5" hidden="1" customHeight="1">
      <c r="A338" s="158">
        <f>OBRA!K337</f>
        <v>2018</v>
      </c>
      <c r="B338" s="1731"/>
      <c r="C338" s="591" t="s">
        <v>3695</v>
      </c>
      <c r="D338" s="146" t="s">
        <v>2433</v>
      </c>
      <c r="E338" s="148" t="s">
        <v>2434</v>
      </c>
      <c r="F338" s="148" t="s">
        <v>2435</v>
      </c>
      <c r="G338" s="527" t="s">
        <v>3695</v>
      </c>
      <c r="H338" s="576">
        <f>OBRA!AG337</f>
        <v>43291</v>
      </c>
      <c r="I338" s="527" t="s">
        <v>3695</v>
      </c>
      <c r="J338" s="576">
        <f>OBRA!AH337</f>
        <v>43293</v>
      </c>
      <c r="K338" s="527" t="s">
        <v>3695</v>
      </c>
      <c r="L338" s="576">
        <f>OBRA!AI337</f>
        <v>43293</v>
      </c>
      <c r="M338" s="527" t="s">
        <v>3695</v>
      </c>
      <c r="N338" s="576">
        <f>OBRA!AJ337</f>
        <v>43298</v>
      </c>
      <c r="O338" s="166" t="s">
        <v>3815</v>
      </c>
      <c r="P338" s="577">
        <v>0.41666666666666669</v>
      </c>
      <c r="Q338" s="527" t="s">
        <v>3695</v>
      </c>
      <c r="R338" s="206">
        <f>OBRA!AK337</f>
        <v>43299</v>
      </c>
      <c r="S338" s="882" t="s">
        <v>2443</v>
      </c>
      <c r="T338" s="400" t="str">
        <f>OBRA!X337</f>
        <v>DRABSA CONSTRUCTORA S.A. DE C.V.</v>
      </c>
      <c r="U338" s="409" t="str">
        <f>OBRA!Y337</f>
        <v>ING. RIGOBERTO OLMEDO RAMOS</v>
      </c>
      <c r="V338" s="1484"/>
      <c r="W338" s="33" t="str">
        <f>OBRA!O337</f>
        <v>GMJ 024C OP/2018</v>
      </c>
      <c r="X338" s="465" t="s">
        <v>3493</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3819</v>
      </c>
      <c r="AI338" s="19" t="s">
        <v>2313</v>
      </c>
      <c r="AJ338" s="527" t="s">
        <v>3695</v>
      </c>
      <c r="AK338" s="527" t="s">
        <v>3695</v>
      </c>
      <c r="AL338" s="503" t="s">
        <v>3695</v>
      </c>
      <c r="AM338" s="869" t="str">
        <f>'ADMININSTRACIÓN DIR - OBRA'!B339</f>
        <v>2015-2018</v>
      </c>
      <c r="AN338" s="410" t="s">
        <v>550</v>
      </c>
      <c r="AO338" s="1"/>
    </row>
    <row r="339" spans="1:41" ht="30" hidden="1" customHeight="1">
      <c r="A339" s="158">
        <f>OBRA!K338</f>
        <v>2018</v>
      </c>
      <c r="B339" s="1731"/>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'ADMININSTRACIÓN DIR - OBRA'!B340</f>
        <v>2015-2018</v>
      </c>
      <c r="AN339" s="522"/>
      <c r="AO339" s="12"/>
    </row>
    <row r="340" spans="1:41" ht="30" hidden="1" customHeight="1">
      <c r="A340" s="158">
        <f>OBRA!K339</f>
        <v>2018</v>
      </c>
      <c r="B340" s="1731"/>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'ADMININSTRACIÓN DIR - OBRA'!B341</f>
        <v>2015-2018</v>
      </c>
      <c r="AN340" s="522"/>
      <c r="AO340" s="12"/>
    </row>
    <row r="341" spans="1:41" ht="30" hidden="1" customHeight="1">
      <c r="A341" s="158">
        <f>OBRA!K340</f>
        <v>2018</v>
      </c>
      <c r="B341" s="1731"/>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'ADMININSTRACIÓN DIR - OBRA'!B342</f>
        <v>2015-2018</v>
      </c>
      <c r="AN341" s="522"/>
      <c r="AO341" s="12"/>
    </row>
    <row r="342" spans="1:41" ht="30" hidden="1" customHeight="1">
      <c r="A342" s="158">
        <f>OBRA!K341</f>
        <v>2018</v>
      </c>
      <c r="B342" s="1731"/>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'ADMININSTRACIÓN DIR - OBRA'!B343</f>
        <v>2015-2018</v>
      </c>
      <c r="AN342" s="522"/>
      <c r="AO342" s="12"/>
    </row>
    <row r="343" spans="1:41" ht="30" hidden="1" customHeight="1">
      <c r="A343" s="158">
        <f>OBRA!K342</f>
        <v>2018</v>
      </c>
      <c r="B343" s="1731"/>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'ADMININSTRACIÓN DIR - OBRA'!B344</f>
        <v>2015-2018</v>
      </c>
      <c r="AN343" s="522"/>
      <c r="AO343" s="12"/>
    </row>
    <row r="344" spans="1:41" ht="30" hidden="1" customHeight="1">
      <c r="A344" s="158">
        <f>OBRA!K343</f>
        <v>2018</v>
      </c>
      <c r="B344" s="1731"/>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'ADMININSTRACIÓN DIR - OBRA'!B345</f>
        <v>2015-2018</v>
      </c>
      <c r="AN344" s="522"/>
      <c r="AO344" s="12"/>
    </row>
    <row r="345" spans="1:41" ht="30" hidden="1" customHeight="1">
      <c r="A345" s="158">
        <f>OBRA!K344</f>
        <v>2018</v>
      </c>
      <c r="B345" s="1731"/>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'ADMININSTRACIÓN DIR - OBRA'!B346</f>
        <v>2015-2018</v>
      </c>
      <c r="AN345" s="522"/>
      <c r="AO345" s="12"/>
    </row>
    <row r="346" spans="1:41" ht="30" hidden="1" customHeight="1">
      <c r="A346" s="158">
        <f>OBRA!K345</f>
        <v>2018</v>
      </c>
      <c r="B346" s="1731"/>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'ADMININSTRACIÓN DIR - OBRA'!B347</f>
        <v>2015-2018</v>
      </c>
      <c r="AN346" s="522"/>
      <c r="AO346" s="12"/>
    </row>
    <row r="347" spans="1:41" ht="21.95" hidden="1" customHeight="1">
      <c r="A347" s="158">
        <f>OBRA!K346</f>
        <v>2018</v>
      </c>
      <c r="B347" s="1731"/>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'ADMININSTRACIÓN DIR - OBRA'!B348</f>
        <v>2018-2021</v>
      </c>
      <c r="AN347" s="410"/>
      <c r="AO347" s="12"/>
    </row>
    <row r="348" spans="1:41" ht="21.95" hidden="1" customHeight="1">
      <c r="A348" s="158">
        <f>OBRA!K347</f>
        <v>2018</v>
      </c>
      <c r="B348" s="1731"/>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'ADMININSTRACIÓN DIR - OBRA'!B349</f>
        <v>2018-2021</v>
      </c>
      <c r="AN348" s="410"/>
      <c r="AO348" s="12"/>
    </row>
    <row r="349" spans="1:41" ht="21.95" hidden="1" customHeight="1">
      <c r="A349" s="158">
        <f>OBRA!K348</f>
        <v>2018</v>
      </c>
      <c r="B349" s="1731"/>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'ADMININSTRACIÓN DIR - OBRA'!B350</f>
        <v>2018-2021</v>
      </c>
      <c r="AN349" s="410"/>
      <c r="AO349" s="12"/>
    </row>
    <row r="350" spans="1:41" ht="21.95" hidden="1" customHeight="1">
      <c r="A350" s="158">
        <f>OBRA!K349</f>
        <v>2018</v>
      </c>
      <c r="B350" s="1731"/>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'ADMININSTRACIÓN DIR - OBRA'!B351</f>
        <v>2018-2021</v>
      </c>
      <c r="AN350" s="410"/>
      <c r="AO350" s="12"/>
    </row>
    <row r="351" spans="1:41" ht="21.95" hidden="1" customHeight="1">
      <c r="A351" s="158">
        <f>OBRA!K350</f>
        <v>2019</v>
      </c>
      <c r="B351" s="1731"/>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'ADMININSTRACIÓN DIR - OBRA'!B352</f>
        <v>2018-2021</v>
      </c>
      <c r="AN351" s="410"/>
      <c r="AO351" s="12"/>
    </row>
    <row r="352" spans="1:41" ht="21.95" hidden="1" customHeight="1">
      <c r="A352" s="158">
        <f>OBRA!K351</f>
        <v>2019</v>
      </c>
      <c r="B352" s="1731"/>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'ADMININSTRACIÓN DIR - OBRA'!B353</f>
        <v>2018-2021</v>
      </c>
      <c r="AN352" s="410"/>
      <c r="AO352" s="12"/>
    </row>
    <row r="353" spans="1:41" ht="21.95" hidden="1" customHeight="1">
      <c r="A353" s="158">
        <f>OBRA!K352</f>
        <v>2019</v>
      </c>
      <c r="B353" s="1731"/>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'ADMININSTRACIÓN DIR - OBRA'!B354</f>
        <v>2018-2021</v>
      </c>
      <c r="AN353" s="410"/>
      <c r="AO353" s="12"/>
    </row>
    <row r="354" spans="1:41" ht="21.95" hidden="1" customHeight="1">
      <c r="A354" s="158">
        <f>OBRA!K353</f>
        <v>2019</v>
      </c>
      <c r="B354" s="1731"/>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'ADMININSTRACIÓN DIR - OBRA'!B355</f>
        <v>2018-2021</v>
      </c>
      <c r="AN354" s="410"/>
      <c r="AO354" s="12"/>
    </row>
    <row r="355" spans="1:41" ht="21.95" hidden="1" customHeight="1">
      <c r="A355" s="158">
        <f>OBRA!K354</f>
        <v>2019</v>
      </c>
      <c r="B355" s="1731"/>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'ADMININSTRACIÓN DIR - OBRA'!B356</f>
        <v>2018-2021</v>
      </c>
      <c r="AN355" s="410"/>
      <c r="AO355" s="12"/>
    </row>
    <row r="356" spans="1:41" ht="21.95" hidden="1" customHeight="1">
      <c r="A356" s="158">
        <f>OBRA!K355</f>
        <v>2019</v>
      </c>
      <c r="B356" s="1731"/>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'ADMININSTRACIÓN DIR - OBRA'!B357</f>
        <v>2018-2021</v>
      </c>
      <c r="AN356" s="410"/>
      <c r="AO356" s="12"/>
    </row>
    <row r="357" spans="1:41" ht="21.95" hidden="1" customHeight="1">
      <c r="A357" s="158">
        <f>OBRA!K356</f>
        <v>2019</v>
      </c>
      <c r="B357" s="1731"/>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'ADMININSTRACIÓN DIR - OBRA'!B358</f>
        <v>2018-2021</v>
      </c>
      <c r="AN357" s="410"/>
      <c r="AO357" s="12"/>
    </row>
    <row r="358" spans="1:41" ht="21.95" hidden="1" customHeight="1">
      <c r="A358" s="158">
        <f>OBRA!K357</f>
        <v>2019</v>
      </c>
      <c r="B358" s="1731"/>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'ADMININSTRACIÓN DIR - OBRA'!B359</f>
        <v>2018-2021</v>
      </c>
      <c r="AN358" s="410"/>
      <c r="AO358" s="12"/>
    </row>
    <row r="359" spans="1:41" ht="21.95" hidden="1" customHeight="1">
      <c r="A359" s="158">
        <f>OBRA!K358</f>
        <v>2019</v>
      </c>
      <c r="B359" s="1731"/>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'ADMININSTRACIÓN DIR - OBRA'!B360</f>
        <v>2018-2021</v>
      </c>
      <c r="AN359" s="410"/>
      <c r="AO359" s="12"/>
    </row>
    <row r="360" spans="1:41" ht="21.95" hidden="1" customHeight="1">
      <c r="A360" s="158">
        <f>OBRA!K359</f>
        <v>2019</v>
      </c>
      <c r="B360" s="1731"/>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'ADMININSTRACIÓN DIR - OBRA'!B361</f>
        <v>2018-2021</v>
      </c>
      <c r="AN360" s="410"/>
      <c r="AO360" s="12"/>
    </row>
    <row r="361" spans="1:41" ht="21.95" hidden="1" customHeight="1">
      <c r="A361" s="158">
        <f>OBRA!K360</f>
        <v>2019</v>
      </c>
      <c r="B361" s="1731"/>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'ADMININSTRACIÓN DIR - OBRA'!B362</f>
        <v>2018-2021</v>
      </c>
      <c r="AN361" s="410"/>
      <c r="AO361" s="12"/>
    </row>
    <row r="362" spans="1:41" ht="21.95" hidden="1" customHeight="1">
      <c r="A362" s="158">
        <f>OBRA!K361</f>
        <v>2019</v>
      </c>
      <c r="B362" s="1731"/>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'ADMININSTRACIÓN DIR - OBRA'!B363</f>
        <v>2018-2021</v>
      </c>
      <c r="AN362" s="410"/>
      <c r="AO362" s="12"/>
    </row>
    <row r="363" spans="1:41" ht="21.95" hidden="1" customHeight="1">
      <c r="A363" s="158">
        <f>OBRA!K362</f>
        <v>2019</v>
      </c>
      <c r="B363" s="1731"/>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'ADMININSTRACIÓN DIR - OBRA'!B364</f>
        <v>2018-2021</v>
      </c>
      <c r="AN363" s="410"/>
      <c r="AO363" s="12"/>
    </row>
    <row r="364" spans="1:41" ht="21.95" hidden="1" customHeight="1">
      <c r="A364" s="158">
        <f>OBRA!K363</f>
        <v>2019</v>
      </c>
      <c r="B364" s="1731"/>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'ADMININSTRACIÓN DIR - OBRA'!B365</f>
        <v>2018-2021</v>
      </c>
      <c r="AN364" s="410"/>
      <c r="AO364" s="12"/>
    </row>
    <row r="365" spans="1:41" ht="21.95" hidden="1" customHeight="1">
      <c r="A365" s="158">
        <f>OBRA!K364</f>
        <v>2019</v>
      </c>
      <c r="B365" s="1731"/>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'ADMININSTRACIÓN DIR - OBRA'!B366</f>
        <v>2018-2021</v>
      </c>
      <c r="AN365" s="410"/>
      <c r="AO365" s="12"/>
    </row>
    <row r="366" spans="1:41" ht="21.95" hidden="1" customHeight="1">
      <c r="A366" s="158">
        <f>OBRA!K365</f>
        <v>2019</v>
      </c>
      <c r="B366" s="1731"/>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'ADMININSTRACIÓN DIR - OBRA'!B367</f>
        <v>2018-2021</v>
      </c>
      <c r="AN366" s="410"/>
      <c r="AO366" s="12"/>
    </row>
    <row r="367" spans="1:41" ht="21.95" hidden="1" customHeight="1">
      <c r="A367" s="158">
        <f>OBRA!K366</f>
        <v>2019</v>
      </c>
      <c r="B367" s="1731"/>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'ADMININSTRACIÓN DIR - OBRA'!B368</f>
        <v>2018-2021</v>
      </c>
      <c r="AN367" s="410"/>
      <c r="AO367" s="12"/>
    </row>
    <row r="368" spans="1:41" ht="21.95" hidden="1" customHeight="1">
      <c r="A368" s="158">
        <f>OBRA!K367</f>
        <v>2019</v>
      </c>
      <c r="B368" s="1731"/>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'ADMININSTRACIÓN DIR - OBRA'!B369</f>
        <v>2018-2021</v>
      </c>
      <c r="AN368" s="410"/>
      <c r="AO368" s="12"/>
    </row>
    <row r="369" spans="1:41" ht="21.95" hidden="1" customHeight="1">
      <c r="A369" s="158">
        <f>OBRA!K368</f>
        <v>2019</v>
      </c>
      <c r="B369" s="1731"/>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'ADMININSTRACIÓN DIR - OBRA'!B370</f>
        <v>2018-2021</v>
      </c>
      <c r="AN369" s="410"/>
      <c r="AO369" s="12"/>
    </row>
    <row r="370" spans="1:41" ht="21.95" hidden="1" customHeight="1">
      <c r="A370" s="158">
        <f>OBRA!K369</f>
        <v>2019</v>
      </c>
      <c r="B370" s="1731"/>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'ADMININSTRACIÓN DIR - OBRA'!B371</f>
        <v>2018-2021</v>
      </c>
      <c r="AN370" s="410"/>
      <c r="AO370" s="12"/>
    </row>
    <row r="371" spans="1:41" ht="21.95" hidden="1" customHeight="1">
      <c r="A371" s="158">
        <f>OBRA!K370</f>
        <v>2019</v>
      </c>
      <c r="B371" s="1731"/>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'ADMININSTRACIÓN DIR - OBRA'!B372</f>
        <v>2018-2021</v>
      </c>
      <c r="AN371" s="410"/>
      <c r="AO371" s="12"/>
    </row>
    <row r="372" spans="1:41" ht="21.95" hidden="1" customHeight="1">
      <c r="A372" s="158">
        <f>OBRA!K371</f>
        <v>2019</v>
      </c>
      <c r="B372" s="1731"/>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'ADMININSTRACIÓN DIR - OBRA'!B373</f>
        <v>2018-2021</v>
      </c>
      <c r="AN372" s="410"/>
      <c r="AO372" s="12"/>
    </row>
    <row r="373" spans="1:41" ht="21.95" hidden="1" customHeight="1">
      <c r="A373" s="158">
        <f>OBRA!K372</f>
        <v>2019</v>
      </c>
      <c r="B373" s="1731"/>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'ADMININSTRACIÓN DIR - OBRA'!B374</f>
        <v>2018-2021</v>
      </c>
      <c r="AN373" s="410"/>
      <c r="AO373" s="12"/>
    </row>
    <row r="374" spans="1:41" ht="21.95" hidden="1" customHeight="1">
      <c r="A374" s="158">
        <f>OBRA!K373</f>
        <v>2019</v>
      </c>
      <c r="B374" s="1731"/>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'ADMININSTRACIÓN DIR - OBRA'!B375</f>
        <v>2018-2021</v>
      </c>
      <c r="AN374" s="410"/>
      <c r="AO374" s="12"/>
    </row>
    <row r="375" spans="1:41" ht="21.95" hidden="1" customHeight="1">
      <c r="A375" s="158">
        <f>OBRA!K374</f>
        <v>2019</v>
      </c>
      <c r="B375" s="1731"/>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'ADMININSTRACIÓN DIR - OBRA'!B376</f>
        <v>2018-2021</v>
      </c>
      <c r="AN375" s="410"/>
      <c r="AO375" s="12"/>
    </row>
    <row r="376" spans="1:41" ht="21.95" hidden="1" customHeight="1">
      <c r="A376" s="158">
        <f>OBRA!K375</f>
        <v>2019</v>
      </c>
      <c r="B376" s="1731"/>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'ADMININSTRACIÓN DIR - OBRA'!B377</f>
        <v>2018-2021</v>
      </c>
      <c r="AN376" s="410"/>
      <c r="AO376" s="12"/>
    </row>
    <row r="377" spans="1:41" ht="21.95" hidden="1" customHeight="1">
      <c r="A377" s="158">
        <f>OBRA!K376</f>
        <v>2019</v>
      </c>
      <c r="B377" s="1731"/>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'ADMININSTRACIÓN DIR - OBRA'!B378</f>
        <v>2018-2021</v>
      </c>
      <c r="AN377" s="410"/>
      <c r="AO377" s="12"/>
    </row>
    <row r="378" spans="1:41" ht="21.95" hidden="1" customHeight="1">
      <c r="A378" s="158">
        <f>OBRA!K377</f>
        <v>2019</v>
      </c>
      <c r="B378" s="1731"/>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'ADMININSTRACIÓN DIR - OBRA'!B379</f>
        <v>2018-2021</v>
      </c>
      <c r="AN378" s="410"/>
      <c r="AO378" s="12"/>
    </row>
    <row r="379" spans="1:41" ht="21.95" hidden="1" customHeight="1">
      <c r="A379" s="158">
        <f>OBRA!K378</f>
        <v>2019</v>
      </c>
      <c r="B379" s="1731"/>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'ADMININSTRACIÓN DIR - OBRA'!B380</f>
        <v>2018-2021</v>
      </c>
      <c r="AN379" s="410"/>
      <c r="AO379" s="12"/>
    </row>
    <row r="380" spans="1:41" ht="21.95" hidden="1" customHeight="1">
      <c r="A380" s="158">
        <f>OBRA!K379</f>
        <v>2019</v>
      </c>
      <c r="B380" s="1731"/>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'ADMININSTRACIÓN DIR - OBRA'!B381</f>
        <v>2018-2021</v>
      </c>
      <c r="AN380" s="410"/>
      <c r="AO380" s="12"/>
    </row>
    <row r="381" spans="1:41" ht="21.95" hidden="1" customHeight="1">
      <c r="A381" s="158">
        <f>OBRA!K380</f>
        <v>2019</v>
      </c>
      <c r="B381" s="1731"/>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'ADMININSTRACIÓN DIR - OBRA'!B382</f>
        <v>2018-2021</v>
      </c>
      <c r="AN381" s="410"/>
      <c r="AO381" s="12"/>
    </row>
    <row r="382" spans="1:41" ht="21.95" hidden="1" customHeight="1">
      <c r="A382" s="158">
        <f>OBRA!K381</f>
        <v>2019</v>
      </c>
      <c r="B382" s="1731"/>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'ADMININSTRACIÓN DIR - OBRA'!B383</f>
        <v>2018-2021</v>
      </c>
      <c r="AN382" s="410"/>
      <c r="AO382" s="12"/>
    </row>
    <row r="383" spans="1:41" ht="21.95" hidden="1" customHeight="1">
      <c r="A383" s="158">
        <f>OBRA!K382</f>
        <v>2019</v>
      </c>
      <c r="B383" s="1731"/>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'ADMININSTRACIÓN DIR - OBRA'!B384</f>
        <v>2018-2021</v>
      </c>
      <c r="AN383" s="410"/>
      <c r="AO383" s="12"/>
    </row>
    <row r="384" spans="1:41" ht="21.95" hidden="1" customHeight="1">
      <c r="A384" s="158">
        <f>OBRA!K383</f>
        <v>2019</v>
      </c>
      <c r="B384" s="1731"/>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'ADMININSTRACIÓN DIR - OBRA'!B385</f>
        <v>2018-2021</v>
      </c>
      <c r="AN384" s="410"/>
      <c r="AO384" s="12"/>
    </row>
    <row r="385" spans="1:41" ht="21.95" hidden="1" customHeight="1">
      <c r="A385" s="158">
        <f>OBRA!K384</f>
        <v>2019</v>
      </c>
      <c r="B385" s="1731"/>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'ADMININSTRACIÓN DIR - OBRA'!B386</f>
        <v>2018-2021</v>
      </c>
      <c r="AN385" s="410"/>
      <c r="AO385" s="12"/>
    </row>
    <row r="386" spans="1:41" ht="21.95" hidden="1" customHeight="1">
      <c r="A386" s="158">
        <f>OBRA!K385</f>
        <v>2019</v>
      </c>
      <c r="B386" s="1731"/>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'ADMININSTRACIÓN DIR - OBRA'!B387</f>
        <v>2018-2021</v>
      </c>
      <c r="AN386" s="410"/>
      <c r="AO386" s="12"/>
    </row>
    <row r="387" spans="1:41" ht="21.95" hidden="1" customHeight="1">
      <c r="A387" s="158">
        <f>OBRA!K386</f>
        <v>2019</v>
      </c>
      <c r="B387" s="1731"/>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'ADMININSTRACIÓN DIR - OBRA'!B388</f>
        <v>2018-2021</v>
      </c>
      <c r="AN387" s="410"/>
      <c r="AO387" s="12"/>
    </row>
    <row r="388" spans="1:41" ht="21.95" hidden="1" customHeight="1">
      <c r="A388" s="158">
        <f>OBRA!K387</f>
        <v>2019</v>
      </c>
      <c r="B388" s="1731"/>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'ADMININSTRACIÓN DIR - OBRA'!B389</f>
        <v>2018-2021</v>
      </c>
      <c r="AN388" s="410"/>
      <c r="AO388" s="12"/>
    </row>
    <row r="389" spans="1:41" ht="21.95" hidden="1" customHeight="1">
      <c r="A389" s="158">
        <f>OBRA!K388</f>
        <v>2019</v>
      </c>
      <c r="B389" s="1731"/>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'ADMININSTRACIÓN DIR - OBRA'!B390</f>
        <v>2018-2021</v>
      </c>
      <c r="AN389" s="410"/>
      <c r="AO389" s="12"/>
    </row>
    <row r="390" spans="1:41" ht="21.95" hidden="1" customHeight="1">
      <c r="A390" s="158">
        <f>OBRA!K389</f>
        <v>2019</v>
      </c>
      <c r="B390" s="1731"/>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'ADMININSTRACIÓN DIR - OBRA'!B391</f>
        <v>2018-2021</v>
      </c>
      <c r="AN390" s="410"/>
      <c r="AO390" s="12"/>
    </row>
    <row r="391" spans="1:41" ht="21.95" hidden="1" customHeight="1">
      <c r="A391" s="158">
        <f>OBRA!K390</f>
        <v>2019</v>
      </c>
      <c r="B391" s="1731"/>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'ADMININSTRACIÓN DIR - OBRA'!B392</f>
        <v>2018-2021</v>
      </c>
      <c r="AN391" s="410"/>
      <c r="AO391" s="12"/>
    </row>
    <row r="392" spans="1:41" ht="21.95" hidden="1" customHeight="1">
      <c r="A392" s="158">
        <f>OBRA!K391</f>
        <v>2019</v>
      </c>
      <c r="B392" s="1731"/>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'ADMININSTRACIÓN DIR - OBRA'!B393</f>
        <v>2018-2021</v>
      </c>
      <c r="AN392" s="410"/>
      <c r="AO392" s="12"/>
    </row>
    <row r="393" spans="1:41" ht="21.95" hidden="1" customHeight="1">
      <c r="A393" s="158">
        <f>OBRA!K392</f>
        <v>2019</v>
      </c>
      <c r="B393" s="1731"/>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'ADMININSTRACIÓN DIR - OBRA'!B394</f>
        <v>2018-2021</v>
      </c>
      <c r="AN393" s="410"/>
      <c r="AO393" s="12"/>
    </row>
    <row r="394" spans="1:41" ht="21.95" hidden="1" customHeight="1">
      <c r="A394" s="158">
        <f>OBRA!K393</f>
        <v>2019</v>
      </c>
      <c r="B394" s="1731"/>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'ADMININSTRACIÓN DIR - OBRA'!B395</f>
        <v>2018-2021</v>
      </c>
      <c r="AN394" s="410"/>
      <c r="AO394" s="12"/>
    </row>
    <row r="395" spans="1:41" ht="21.95" hidden="1" customHeight="1">
      <c r="A395" s="158">
        <f>OBRA!K394</f>
        <v>2019</v>
      </c>
      <c r="B395" s="1731"/>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'ADMININSTRACIÓN DIR - OBRA'!B396</f>
        <v>2018-2021</v>
      </c>
      <c r="AN395" s="410"/>
      <c r="AO395" s="12"/>
    </row>
    <row r="396" spans="1:41" ht="21.95" hidden="1" customHeight="1">
      <c r="A396" s="158">
        <f>OBRA!K395</f>
        <v>2019</v>
      </c>
      <c r="B396" s="1731"/>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'ADMININSTRACIÓN DIR - OBRA'!B397</f>
        <v>2018-2021</v>
      </c>
      <c r="AN396" s="410"/>
      <c r="AO396" s="12"/>
    </row>
    <row r="397" spans="1:41" ht="21.95" hidden="1" customHeight="1">
      <c r="A397" s="158">
        <f>OBRA!K396</f>
        <v>2019</v>
      </c>
      <c r="B397" s="1731"/>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'ADMININSTRACIÓN DIR - OBRA'!B398</f>
        <v>2018-2021</v>
      </c>
      <c r="AN397" s="410"/>
      <c r="AO397" s="12"/>
    </row>
    <row r="398" spans="1:41" ht="21.95" hidden="1" customHeight="1">
      <c r="A398" s="158">
        <f>OBRA!K397</f>
        <v>2019</v>
      </c>
      <c r="B398" s="1731"/>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'ADMININSTRACIÓN DIR - OBRA'!B399</f>
        <v>2018-2021</v>
      </c>
      <c r="AN398" s="410"/>
      <c r="AO398" s="12"/>
    </row>
    <row r="399" spans="1:41" ht="21.95" hidden="1" customHeight="1">
      <c r="A399" s="158">
        <f>OBRA!K398</f>
        <v>2019</v>
      </c>
      <c r="B399" s="1731"/>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'ADMININSTRACIÓN DIR - OBRA'!B400</f>
        <v>2018-2021</v>
      </c>
      <c r="AN399" s="410"/>
      <c r="AO399" s="12"/>
    </row>
    <row r="400" spans="1:41" ht="21.95" hidden="1" customHeight="1">
      <c r="A400" s="158">
        <f>OBRA!K399</f>
        <v>2019</v>
      </c>
      <c r="B400" s="1731"/>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'ADMININSTRACIÓN DIR - OBRA'!B401</f>
        <v>2018-2021</v>
      </c>
      <c r="AN400" s="410"/>
      <c r="AO400" s="12"/>
    </row>
    <row r="401" spans="1:41" ht="21.95" hidden="1" customHeight="1">
      <c r="A401" s="158">
        <f>OBRA!K400</f>
        <v>2019</v>
      </c>
      <c r="B401" s="1731"/>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'ADMININSTRACIÓN DIR - OBRA'!B402</f>
        <v>2018-2021</v>
      </c>
      <c r="AN401" s="410"/>
      <c r="AO401" s="12"/>
    </row>
    <row r="402" spans="1:41" ht="21.95" hidden="1" customHeight="1">
      <c r="A402" s="158">
        <f>OBRA!K401</f>
        <v>2019</v>
      </c>
      <c r="B402" s="1731"/>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'ADMININSTRACIÓN DIR - OBRA'!B403</f>
        <v>2018-2021</v>
      </c>
      <c r="AN402" s="410"/>
      <c r="AO402" s="12"/>
    </row>
    <row r="403" spans="1:41" ht="21.95" hidden="1" customHeight="1">
      <c r="A403" s="158">
        <f>OBRA!K402</f>
        <v>2019</v>
      </c>
      <c r="B403" s="1731"/>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'ADMININSTRACIÓN DIR - OBRA'!B404</f>
        <v>2018-2021</v>
      </c>
      <c r="AN403" s="410"/>
      <c r="AO403" s="12"/>
    </row>
    <row r="404" spans="1:41" ht="21.95" hidden="1" customHeight="1">
      <c r="A404" s="158">
        <f>OBRA!K403</f>
        <v>2019</v>
      </c>
      <c r="B404" s="1731"/>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'ADMININSTRACIÓN DIR - OBRA'!B405</f>
        <v>2018-2021</v>
      </c>
      <c r="AN404" s="410"/>
      <c r="AO404" s="12"/>
    </row>
    <row r="405" spans="1:41" ht="21.95" hidden="1" customHeight="1">
      <c r="A405" s="158">
        <f>OBRA!K404</f>
        <v>2019</v>
      </c>
      <c r="B405" s="1731"/>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'ADMININSTRACIÓN DIR - OBRA'!B406</f>
        <v>2018-2021</v>
      </c>
      <c r="AN405" s="410"/>
      <c r="AO405" s="12"/>
    </row>
    <row r="406" spans="1:41" ht="21.95" hidden="1" customHeight="1">
      <c r="A406" s="158">
        <f>OBRA!K405</f>
        <v>2019</v>
      </c>
      <c r="B406" s="1731"/>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'ADMININSTRACIÓN DIR - OBRA'!B407</f>
        <v>2018-2021</v>
      </c>
      <c r="AN406" s="410"/>
      <c r="AO406" s="12"/>
    </row>
    <row r="407" spans="1:41" ht="21.95" hidden="1" customHeight="1">
      <c r="A407" s="158">
        <f>OBRA!K406</f>
        <v>2019</v>
      </c>
      <c r="B407" s="1731"/>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'ADMININSTRACIÓN DIR - OBRA'!B408</f>
        <v>2018-2021</v>
      </c>
      <c r="AN407" s="410"/>
      <c r="AO407" s="12"/>
    </row>
    <row r="408" spans="1:41" ht="21.95" hidden="1" customHeight="1">
      <c r="A408" s="158">
        <f>OBRA!K407</f>
        <v>2019</v>
      </c>
      <c r="B408" s="1731"/>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'ADMININSTRACIÓN DIR - OBRA'!B409</f>
        <v>2018-2021</v>
      </c>
      <c r="AN408" s="410"/>
      <c r="AO408" s="12"/>
    </row>
    <row r="409" spans="1:41" ht="21.95" hidden="1" customHeight="1">
      <c r="A409" s="158">
        <f>OBRA!K408</f>
        <v>2019</v>
      </c>
      <c r="B409" s="1731"/>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'ADMININSTRACIÓN DIR - OBRA'!B410</f>
        <v>2018-2021</v>
      </c>
      <c r="AN409" s="410"/>
      <c r="AO409" s="12"/>
    </row>
    <row r="410" spans="1:41" ht="21.95" hidden="1" customHeight="1">
      <c r="A410" s="158">
        <f>OBRA!K409</f>
        <v>2019</v>
      </c>
      <c r="B410" s="1731"/>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'ADMININSTRACIÓN DIR - OBRA'!B411</f>
        <v>2018-2021</v>
      </c>
      <c r="AN410" s="410"/>
      <c r="AO410" s="12"/>
    </row>
    <row r="411" spans="1:41" ht="21.95" hidden="1" customHeight="1">
      <c r="A411" s="158">
        <f>OBRA!K410</f>
        <v>2019</v>
      </c>
      <c r="B411" s="1731"/>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'ADMININSTRACIÓN DIR - OBRA'!B412</f>
        <v>2018-2021</v>
      </c>
      <c r="AN411" s="410"/>
      <c r="AO411" s="12"/>
    </row>
    <row r="412" spans="1:41" ht="21.95" hidden="1" customHeight="1">
      <c r="A412" s="158">
        <f>OBRA!K411</f>
        <v>2019</v>
      </c>
      <c r="B412" s="1731"/>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'ADMININSTRACIÓN DIR - OBRA'!B413</f>
        <v>2018-2021</v>
      </c>
      <c r="AN412" s="410"/>
      <c r="AO412" s="12"/>
    </row>
    <row r="413" spans="1:41" ht="21.95" hidden="1" customHeight="1">
      <c r="A413" s="158">
        <f>OBRA!K412</f>
        <v>2019</v>
      </c>
      <c r="B413" s="1731"/>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'ADMININSTRACIÓN DIR - OBRA'!B414</f>
        <v>2018-2021</v>
      </c>
      <c r="AN413" s="410"/>
      <c r="AO413" s="12"/>
    </row>
    <row r="414" spans="1:41" ht="21.95" hidden="1" customHeight="1">
      <c r="A414" s="158">
        <f>OBRA!K413</f>
        <v>2019</v>
      </c>
      <c r="B414" s="1731"/>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'ADMININSTRACIÓN DIR - OBRA'!B415</f>
        <v>2018-2021</v>
      </c>
      <c r="AN414" s="410"/>
      <c r="AO414" s="12"/>
    </row>
    <row r="415" spans="1:41" ht="21.95" hidden="1" customHeight="1">
      <c r="A415" s="158">
        <f>OBRA!K414</f>
        <v>2019</v>
      </c>
      <c r="B415" s="1731"/>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'ADMININSTRACIÓN DIR - OBRA'!B416</f>
        <v>2018-2021</v>
      </c>
      <c r="AN415" s="410"/>
      <c r="AO415" s="12"/>
    </row>
    <row r="416" spans="1:41" ht="21.95" hidden="1" customHeight="1">
      <c r="A416" s="158">
        <f>OBRA!K415</f>
        <v>2019</v>
      </c>
      <c r="B416" s="1731"/>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'ADMININSTRACIÓN DIR - OBRA'!B417</f>
        <v>2018-2021</v>
      </c>
      <c r="AN416" s="410"/>
      <c r="AO416" s="12"/>
    </row>
    <row r="417" spans="1:41" ht="21.95" hidden="1" customHeight="1">
      <c r="A417" s="158">
        <f>OBRA!K416</f>
        <v>2019</v>
      </c>
      <c r="B417" s="1731"/>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'ADMININSTRACIÓN DIR - OBRA'!B418</f>
        <v>2018-2021</v>
      </c>
      <c r="AN417" s="410"/>
      <c r="AO417" s="12"/>
    </row>
    <row r="418" spans="1:41" ht="21.95" hidden="1" customHeight="1">
      <c r="A418" s="158">
        <f>OBRA!K417</f>
        <v>2019</v>
      </c>
      <c r="B418" s="1731"/>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'ADMININSTRACIÓN DIR - OBRA'!B419</f>
        <v>2018-2021</v>
      </c>
      <c r="AN418" s="410"/>
      <c r="AO418" s="12"/>
    </row>
    <row r="419" spans="1:41" ht="21.95" hidden="1" customHeight="1">
      <c r="A419" s="158">
        <f>OBRA!K418</f>
        <v>2019</v>
      </c>
      <c r="B419" s="1731"/>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'ADMININSTRACIÓN DIR - OBRA'!B420</f>
        <v>2018-2021</v>
      </c>
      <c r="AN419" s="410"/>
      <c r="AO419" s="12"/>
    </row>
    <row r="420" spans="1:41" ht="24.95" hidden="1" customHeight="1">
      <c r="A420" s="158">
        <f>OBRA!K419</f>
        <v>2019</v>
      </c>
      <c r="B420" s="1731"/>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'ADMININSTRACIÓN DIR - OBRA'!B421</f>
        <v>2018-2021</v>
      </c>
      <c r="AN420" s="410"/>
      <c r="AO420" s="12"/>
    </row>
    <row r="421" spans="1:41" ht="24.95" hidden="1" customHeight="1">
      <c r="A421" s="158">
        <f>OBRA!K420</f>
        <v>2019</v>
      </c>
      <c r="B421" s="1731"/>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'ADMININSTRACIÓN DIR - OBRA'!B422</f>
        <v>2018-2021</v>
      </c>
      <c r="AN421" s="410"/>
      <c r="AO421" s="12"/>
    </row>
    <row r="422" spans="1:41" ht="24.95" hidden="1" customHeight="1">
      <c r="A422" s="158">
        <f>OBRA!K421</f>
        <v>2019</v>
      </c>
      <c r="B422" s="1731"/>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'ADMININSTRACIÓN DIR - OBRA'!B423</f>
        <v>2018-2021</v>
      </c>
      <c r="AN422" s="410"/>
      <c r="AO422" s="12"/>
    </row>
    <row r="423" spans="1:41" ht="30" hidden="1" customHeight="1">
      <c r="A423" s="158">
        <f>OBRA!K422</f>
        <v>2020</v>
      </c>
      <c r="B423" s="1731"/>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'ADMININSTRACIÓN DIR - OBRA'!B424</f>
        <v>2018-2021</v>
      </c>
      <c r="AN423" s="410"/>
      <c r="AO423" s="12"/>
    </row>
    <row r="424" spans="1:41" ht="30" hidden="1" customHeight="1">
      <c r="A424" s="158">
        <f>OBRA!K423</f>
        <v>2020</v>
      </c>
      <c r="B424" s="1731"/>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'ADMININSTRACIÓN DIR - OBRA'!B425</f>
        <v>2018-2021</v>
      </c>
      <c r="AN424" s="410"/>
      <c r="AO424" s="12"/>
    </row>
    <row r="425" spans="1:41" ht="30" hidden="1" customHeight="1">
      <c r="A425" s="158">
        <f>OBRA!K425</f>
        <v>2020</v>
      </c>
      <c r="B425" s="1731"/>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'ADMININSTRACIÓN DIR - OBRA'!B427</f>
        <v>2018-2021</v>
      </c>
      <c r="AN425" s="410"/>
      <c r="AO425" s="12"/>
    </row>
    <row r="426" spans="1:41" ht="30" hidden="1" customHeight="1">
      <c r="A426" s="158">
        <f>OBRA!K426</f>
        <v>2020</v>
      </c>
      <c r="B426" s="1731"/>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'ADMININSTRACIÓN DIR - OBRA'!B428</f>
        <v>2018-2021</v>
      </c>
      <c r="AN426" s="410"/>
      <c r="AO426" s="12"/>
    </row>
    <row r="427" spans="1:41" ht="30" hidden="1" customHeight="1">
      <c r="A427" s="158">
        <f>OBRA!K427</f>
        <v>2020</v>
      </c>
      <c r="B427" s="1731"/>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'ADMININSTRACIÓN DIR - OBRA'!B429</f>
        <v>2018-2021</v>
      </c>
      <c r="AN427" s="410"/>
      <c r="AO427" s="12"/>
    </row>
    <row r="428" spans="1:41" ht="30" hidden="1" customHeight="1">
      <c r="A428" s="158">
        <f>OBRA!K428</f>
        <v>2020</v>
      </c>
      <c r="B428" s="1731"/>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'ADMININSTRACIÓN DIR - OBRA'!B430</f>
        <v>2018-2021</v>
      </c>
      <c r="AN428" s="410"/>
      <c r="AO428" s="12"/>
    </row>
    <row r="429" spans="1:41" ht="30" hidden="1" customHeight="1">
      <c r="A429" s="158">
        <f>OBRA!K429</f>
        <v>2020</v>
      </c>
      <c r="B429" s="1731"/>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'ADMININSTRACIÓN DIR - OBRA'!B431</f>
        <v>2018-2021</v>
      </c>
      <c r="AN429" s="410"/>
      <c r="AO429" s="12"/>
    </row>
    <row r="430" spans="1:41" ht="30" hidden="1" customHeight="1">
      <c r="A430" s="158">
        <f>OBRA!K430</f>
        <v>2020</v>
      </c>
      <c r="B430" s="1731"/>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'ADMININSTRACIÓN DIR - OBRA'!B432</f>
        <v>2018-2021</v>
      </c>
      <c r="AN430" s="410"/>
      <c r="AO430" s="12"/>
    </row>
    <row r="431" spans="1:41" ht="30" hidden="1" customHeight="1">
      <c r="A431" s="158">
        <f>OBRA!K431</f>
        <v>2020</v>
      </c>
      <c r="B431" s="1731"/>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'ADMININSTRACIÓN DIR - OBRA'!B433</f>
        <v>2018-2021</v>
      </c>
      <c r="AN431" s="410"/>
      <c r="AO431" s="12"/>
    </row>
    <row r="432" spans="1:41" ht="30" hidden="1" customHeight="1">
      <c r="A432" s="158">
        <f>OBRA!K432</f>
        <v>2020</v>
      </c>
      <c r="B432" s="1731"/>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'ADMININSTRACIÓN DIR - OBRA'!B434</f>
        <v>2018-2021</v>
      </c>
      <c r="AN432" s="410"/>
      <c r="AO432" s="12"/>
    </row>
    <row r="433" spans="1:41" ht="30" hidden="1" customHeight="1">
      <c r="A433" s="158">
        <f>OBRA!K433</f>
        <v>2020</v>
      </c>
      <c r="B433" s="1731"/>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'ADMININSTRACIÓN DIR - OBRA'!B435</f>
        <v>2018-2021</v>
      </c>
      <c r="AN433" s="410"/>
      <c r="AO433" s="12"/>
    </row>
    <row r="434" spans="1:41" ht="30" hidden="1" customHeight="1">
      <c r="A434" s="158">
        <f>OBRA!K434</f>
        <v>2020</v>
      </c>
      <c r="B434" s="1731"/>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'ADMININSTRACIÓN DIR - OBRA'!B436</f>
        <v>2018-2021</v>
      </c>
      <c r="AN434" s="410"/>
      <c r="AO434" s="12"/>
    </row>
    <row r="435" spans="1:41" ht="30" hidden="1" customHeight="1">
      <c r="A435" s="158">
        <f>OBRA!K435</f>
        <v>2020</v>
      </c>
      <c r="B435" s="1731"/>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'ADMININSTRACIÓN DIR - OBRA'!B437</f>
        <v>2018-2021</v>
      </c>
      <c r="AN435" s="410"/>
      <c r="AO435" s="12"/>
    </row>
    <row r="436" spans="1:41" ht="30" hidden="1" customHeight="1">
      <c r="A436" s="158">
        <f>OBRA!K436</f>
        <v>2020</v>
      </c>
      <c r="B436" s="1731"/>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'ADMININSTRACIÓN DIR - OBRA'!B438</f>
        <v>2018-2021</v>
      </c>
      <c r="AN436" s="410"/>
      <c r="AO436" s="12"/>
    </row>
    <row r="437" spans="1:41" ht="30" hidden="1" customHeight="1">
      <c r="A437" s="158">
        <f>OBRA!K437</f>
        <v>2020</v>
      </c>
      <c r="B437" s="1731"/>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'ADMININSTRACIÓN DIR - OBRA'!B439</f>
        <v>2018-2021</v>
      </c>
      <c r="AN437" s="410"/>
      <c r="AO437" s="12"/>
    </row>
    <row r="438" spans="1:41" ht="30" hidden="1" customHeight="1">
      <c r="A438" s="158">
        <f>OBRA!K438</f>
        <v>2020</v>
      </c>
      <c r="B438" s="1731"/>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'ADMININSTRACIÓN DIR - OBRA'!B440</f>
        <v>2018-2021</v>
      </c>
      <c r="AN438" s="410"/>
      <c r="AO438" s="12"/>
    </row>
    <row r="439" spans="1:41" ht="30" hidden="1" customHeight="1">
      <c r="A439" s="158">
        <f>OBRA!K439</f>
        <v>2020</v>
      </c>
      <c r="B439" s="1731"/>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'ADMININSTRACIÓN DIR - OBRA'!B441</f>
        <v>2018-2021</v>
      </c>
      <c r="AN439" s="410"/>
      <c r="AO439" s="12"/>
    </row>
    <row r="440" spans="1:41" ht="30" hidden="1" customHeight="1">
      <c r="A440" s="158">
        <f>OBRA!K440</f>
        <v>2020</v>
      </c>
      <c r="B440" s="1731"/>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'ADMININSTRACIÓN DIR - OBRA'!B442</f>
        <v>2018-2021</v>
      </c>
      <c r="AN440" s="410"/>
      <c r="AO440" s="12"/>
    </row>
    <row r="441" spans="1:41" ht="30" hidden="1" customHeight="1">
      <c r="A441" s="158">
        <f>OBRA!K441</f>
        <v>2020</v>
      </c>
      <c r="B441" s="1731"/>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'ADMININSTRACIÓN DIR - OBRA'!B443</f>
        <v>2018-2021</v>
      </c>
      <c r="AN441" s="410"/>
      <c r="AO441" s="12"/>
    </row>
    <row r="442" spans="1:41" ht="30" hidden="1" customHeight="1">
      <c r="A442" s="158">
        <f>OBRA!K442</f>
        <v>2020</v>
      </c>
      <c r="B442" s="1731"/>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'ADMININSTRACIÓN DIR - OBRA'!B444</f>
        <v>2018-2021</v>
      </c>
      <c r="AN442" s="410"/>
      <c r="AO442" s="12"/>
    </row>
    <row r="443" spans="1:41" ht="30" hidden="1" customHeight="1">
      <c r="A443" s="158">
        <f>OBRA!K443</f>
        <v>2020</v>
      </c>
      <c r="B443" s="1731"/>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'ADMININSTRACIÓN DIR - OBRA'!B445</f>
        <v>2018-2021</v>
      </c>
      <c r="AN443" s="410"/>
      <c r="AO443" s="12"/>
    </row>
    <row r="444" spans="1:41" ht="30" hidden="1" customHeight="1">
      <c r="A444" s="158">
        <f>OBRA!K444</f>
        <v>2020</v>
      </c>
      <c r="B444" s="1731"/>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'ADMININSTRACIÓN DIR - OBRA'!B446</f>
        <v>2018-2021</v>
      </c>
      <c r="AN444" s="410"/>
      <c r="AO444" s="12"/>
    </row>
    <row r="445" spans="1:41" ht="30" hidden="1" customHeight="1">
      <c r="A445" s="158">
        <f>OBRA!K445</f>
        <v>2020</v>
      </c>
      <c r="B445" s="1731"/>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'ADMININSTRACIÓN DIR - OBRA'!B447</f>
        <v>2018-2021</v>
      </c>
      <c r="AN445" s="410"/>
      <c r="AO445" s="12"/>
    </row>
    <row r="446" spans="1:41" ht="30" hidden="1" customHeight="1">
      <c r="A446" s="158">
        <f>OBRA!K446</f>
        <v>2020</v>
      </c>
      <c r="B446" s="1731"/>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'ADMININSTRACIÓN DIR - OBRA'!B448</f>
        <v>2018-2021</v>
      </c>
      <c r="AN446" s="410"/>
      <c r="AO446" s="12"/>
    </row>
    <row r="447" spans="1:41" ht="30" hidden="1" customHeight="1">
      <c r="A447" s="158">
        <f>OBRA!K447</f>
        <v>2020</v>
      </c>
      <c r="B447" s="1731"/>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'ADMININSTRACIÓN DIR - OBRA'!B449</f>
        <v>2018-2021</v>
      </c>
      <c r="AN447" s="410"/>
      <c r="AO447" s="12"/>
    </row>
    <row r="448" spans="1:41" ht="30" hidden="1" customHeight="1">
      <c r="A448" s="158">
        <f>OBRA!K448</f>
        <v>2020</v>
      </c>
      <c r="B448" s="1731"/>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'ADMININSTRACIÓN DIR - OBRA'!B450</f>
        <v>2018-2021</v>
      </c>
      <c r="AN448" s="410"/>
      <c r="AO448" s="12"/>
    </row>
    <row r="449" spans="1:41" ht="30" hidden="1" customHeight="1">
      <c r="A449" s="158">
        <f>OBRA!K449</f>
        <v>2020</v>
      </c>
      <c r="B449" s="1731"/>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'ADMININSTRACIÓN DIR - OBRA'!B451</f>
        <v>2018-2021</v>
      </c>
      <c r="AN449" s="410"/>
      <c r="AO449" s="12"/>
    </row>
    <row r="450" spans="1:41" ht="30" hidden="1" customHeight="1">
      <c r="A450" s="158">
        <f>OBRA!K450</f>
        <v>2020</v>
      </c>
      <c r="B450" s="1731"/>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'ADMININSTRACIÓN DIR - OBRA'!B452</f>
        <v>2018-2021</v>
      </c>
      <c r="AN450" s="410"/>
      <c r="AO450" s="12"/>
    </row>
    <row r="451" spans="1:41" ht="30" hidden="1" customHeight="1">
      <c r="A451" s="158">
        <f>OBRA!K451</f>
        <v>2020</v>
      </c>
      <c r="B451" s="1731"/>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'ADMININSTRACIÓN DIR - OBRA'!B453</f>
        <v>2018-2021</v>
      </c>
      <c r="AN451" s="410"/>
      <c r="AO451" s="12"/>
    </row>
    <row r="452" spans="1:41" ht="30" hidden="1" customHeight="1">
      <c r="A452" s="158">
        <f>OBRA!K452</f>
        <v>2020</v>
      </c>
      <c r="B452" s="1731"/>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'ADMININSTRACIÓN DIR - OBRA'!B454</f>
        <v>2018-2021</v>
      </c>
      <c r="AN452" s="410"/>
      <c r="AO452" s="12"/>
    </row>
    <row r="453" spans="1:41" ht="30" hidden="1" customHeight="1">
      <c r="A453" s="158">
        <f>OBRA!K453</f>
        <v>2020</v>
      </c>
      <c r="B453" s="1731"/>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'ADMININSTRACIÓN DIR - OBRA'!B455</f>
        <v>2018-2021</v>
      </c>
      <c r="AN453" s="410"/>
      <c r="AO453" s="12"/>
    </row>
    <row r="454" spans="1:41" ht="30" hidden="1" customHeight="1">
      <c r="A454" s="158">
        <f>OBRA!K454</f>
        <v>2020</v>
      </c>
      <c r="B454" s="1731"/>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'ADMININSTRACIÓN DIR - OBRA'!B456</f>
        <v>2018-2021</v>
      </c>
      <c r="AN454" s="410"/>
      <c r="AO454" s="12"/>
    </row>
    <row r="455" spans="1:41" ht="30" hidden="1" customHeight="1">
      <c r="A455" s="158">
        <f>OBRA!K455</f>
        <v>2020</v>
      </c>
      <c r="B455" s="1731"/>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'ADMININSTRACIÓN DIR - OBRA'!B457</f>
        <v>2018-2021</v>
      </c>
      <c r="AN455" s="410"/>
      <c r="AO455" s="12"/>
    </row>
    <row r="456" spans="1:41" ht="30" hidden="1" customHeight="1">
      <c r="A456" s="158">
        <f>OBRA!K456</f>
        <v>2020</v>
      </c>
      <c r="B456" s="1731"/>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'ADMININSTRACIÓN DIR - OBRA'!B458</f>
        <v>2018-2021</v>
      </c>
      <c r="AN456" s="410"/>
      <c r="AO456" s="12"/>
    </row>
    <row r="457" spans="1:41" ht="30" hidden="1" customHeight="1">
      <c r="A457" s="158">
        <f>OBRA!K457</f>
        <v>2020</v>
      </c>
      <c r="B457" s="1731"/>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'ADMININSTRACIÓN DIR - OBRA'!B459</f>
        <v>2018-2021</v>
      </c>
      <c r="AN457" s="410"/>
      <c r="AO457" s="12"/>
    </row>
    <row r="458" spans="1:41" ht="30" hidden="1" customHeight="1">
      <c r="A458" s="158">
        <f>OBRA!K458</f>
        <v>2020</v>
      </c>
      <c r="B458" s="1731"/>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'ADMININSTRACIÓN DIR - OBRA'!B461</f>
        <v>2018-2021</v>
      </c>
      <c r="AN458" s="410"/>
      <c r="AO458" s="12"/>
    </row>
    <row r="459" spans="1:41" ht="30" hidden="1" customHeight="1">
      <c r="A459" s="158">
        <f>OBRA!K459</f>
        <v>2020</v>
      </c>
      <c r="B459" s="1731"/>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'ADMININSTRACIÓN DIR - OBRA'!B462</f>
        <v>2018-2021</v>
      </c>
      <c r="AN459" s="410"/>
      <c r="AO459" s="12"/>
    </row>
    <row r="460" spans="1:41" ht="30" hidden="1" customHeight="1">
      <c r="A460" s="158">
        <f>OBRA!K460</f>
        <v>2020</v>
      </c>
      <c r="B460" s="1731"/>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'ADMININSTRACIÓN DIR - OBRA'!B463</f>
        <v>2018-2021</v>
      </c>
      <c r="AN460" s="410"/>
      <c r="AO460" s="12"/>
    </row>
    <row r="461" spans="1:41" ht="30" hidden="1" customHeight="1">
      <c r="A461" s="158">
        <f>OBRA!K461</f>
        <v>2020</v>
      </c>
      <c r="B461" s="1731"/>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'ADMININSTRACIÓN DIR - OBRA'!B464</f>
        <v>2018-2021</v>
      </c>
      <c r="AN461" s="410"/>
      <c r="AO461" s="12"/>
    </row>
    <row r="462" spans="1:41" ht="30" hidden="1" customHeight="1">
      <c r="A462" s="158">
        <f>OBRA!K462</f>
        <v>2020</v>
      </c>
      <c r="B462" s="1731"/>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'ADMININSTRACIÓN DIR - OBRA'!B465</f>
        <v>2018-2021</v>
      </c>
      <c r="AN462" s="410"/>
      <c r="AO462" s="12"/>
    </row>
    <row r="463" spans="1:41" ht="30" hidden="1" customHeight="1">
      <c r="A463" s="158">
        <f>OBRA!K463</f>
        <v>2020</v>
      </c>
      <c r="B463" s="1731"/>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'ADMININSTRACIÓN DIR - OBRA'!B466</f>
        <v>2018-2021</v>
      </c>
      <c r="AN463" s="410"/>
      <c r="AO463" s="12"/>
    </row>
    <row r="464" spans="1:41" ht="30" hidden="1" customHeight="1">
      <c r="A464" s="158">
        <f>OBRA!K464</f>
        <v>2020</v>
      </c>
      <c r="B464" s="1731"/>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'ADMININSTRACIÓN DIR - OBRA'!B467</f>
        <v>2018-2021</v>
      </c>
      <c r="AN464" s="410"/>
      <c r="AO464" s="12"/>
    </row>
    <row r="465" spans="1:41" ht="30" hidden="1" customHeight="1">
      <c r="A465" s="158">
        <f>OBRA!K465</f>
        <v>2020</v>
      </c>
      <c r="B465" s="1731"/>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'ADMININSTRACIÓN DIR - OBRA'!B468</f>
        <v>2018-2021</v>
      </c>
      <c r="AN465" s="410"/>
      <c r="AO465" s="12"/>
    </row>
    <row r="466" spans="1:41" ht="30" hidden="1" customHeight="1">
      <c r="A466" s="158">
        <f>OBRA!K466</f>
        <v>2020</v>
      </c>
      <c r="B466" s="1731"/>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'ADMININSTRACIÓN DIR - OBRA'!B469</f>
        <v>2018-2021</v>
      </c>
      <c r="AN466" s="410"/>
      <c r="AO466" s="12"/>
    </row>
    <row r="467" spans="1:41" ht="30" hidden="1" customHeight="1">
      <c r="A467" s="158">
        <f>OBRA!K467</f>
        <v>2020</v>
      </c>
      <c r="B467" s="1731"/>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'ADMININSTRACIÓN DIR - OBRA'!B470</f>
        <v>2018-2021</v>
      </c>
      <c r="AN467" s="410"/>
      <c r="AO467" s="12"/>
    </row>
    <row r="468" spans="1:41" ht="30" hidden="1" customHeight="1">
      <c r="A468" s="158">
        <f>OBRA!K468</f>
        <v>2020</v>
      </c>
      <c r="B468" s="1731"/>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'ADMININSTRACIÓN DIR - OBRA'!B471</f>
        <v>2018-2021</v>
      </c>
      <c r="AN468" s="410"/>
      <c r="AO468" s="12"/>
    </row>
    <row r="469" spans="1:41" ht="30" hidden="1" customHeight="1">
      <c r="A469" s="158">
        <f>OBRA!K469</f>
        <v>2020</v>
      </c>
      <c r="B469" s="1731"/>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'ADMININSTRACIÓN DIR - OBRA'!B472</f>
        <v>2018-2021</v>
      </c>
      <c r="AN469" s="410"/>
      <c r="AO469" s="12"/>
    </row>
    <row r="470" spans="1:41" ht="30" hidden="1" customHeight="1">
      <c r="A470" s="158">
        <f>OBRA!K470</f>
        <v>2020</v>
      </c>
      <c r="B470" s="1731"/>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'ADMININSTRACIÓN DIR - OBRA'!B473</f>
        <v>2018-2021</v>
      </c>
      <c r="AN470" s="410"/>
      <c r="AO470" s="12"/>
    </row>
    <row r="471" spans="1:41" ht="30" hidden="1" customHeight="1">
      <c r="A471" s="158">
        <f>OBRA!K471</f>
        <v>2020</v>
      </c>
      <c r="B471" s="1731"/>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'ADMININSTRACIÓN DIR - OBRA'!B474</f>
        <v>2018-2021</v>
      </c>
      <c r="AN471" s="410"/>
      <c r="AO471" s="12"/>
    </row>
    <row r="472" spans="1:41" ht="30" hidden="1" customHeight="1">
      <c r="A472" s="158">
        <f>OBRA!K472</f>
        <v>2020</v>
      </c>
      <c r="B472" s="1731"/>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'ADMININSTRACIÓN DIR - OBRA'!B475</f>
        <v>2018-2021</v>
      </c>
      <c r="AN472" s="410"/>
      <c r="AO472" s="12"/>
    </row>
    <row r="473" spans="1:41" ht="30" hidden="1" customHeight="1">
      <c r="A473" s="158">
        <f>OBRA!K473</f>
        <v>2020</v>
      </c>
      <c r="B473" s="1731"/>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'ADMININSTRACIÓN DIR - OBRA'!B476</f>
        <v>2018-2021</v>
      </c>
      <c r="AN473" s="410"/>
      <c r="AO473" s="12"/>
    </row>
    <row r="474" spans="1:41" ht="30" hidden="1" customHeight="1">
      <c r="A474" s="158">
        <f>OBRA!K474</f>
        <v>2020</v>
      </c>
      <c r="B474" s="1731"/>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'ADMININSTRACIÓN DIR - OBRA'!B477</f>
        <v>2018-2021</v>
      </c>
      <c r="AN474" s="410"/>
      <c r="AO474" s="12"/>
    </row>
    <row r="475" spans="1:41" ht="30" hidden="1" customHeight="1">
      <c r="A475" s="158">
        <f>OBRA!K475</f>
        <v>2020</v>
      </c>
      <c r="B475" s="1731"/>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'ADMININSTRACIÓN DIR - OBRA'!B478</f>
        <v>2018-2021</v>
      </c>
      <c r="AN475" s="410"/>
      <c r="AO475" s="12"/>
    </row>
    <row r="476" spans="1:41" ht="30" hidden="1" customHeight="1">
      <c r="A476" s="158">
        <f>OBRA!K476</f>
        <v>2020</v>
      </c>
      <c r="B476" s="1731"/>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'ADMININSTRACIÓN DIR - OBRA'!B479</f>
        <v>2018-2021</v>
      </c>
      <c r="AN476" s="410"/>
      <c r="AO476" s="12"/>
    </row>
    <row r="477" spans="1:41" ht="30" hidden="1" customHeight="1">
      <c r="A477" s="158">
        <f>OBRA!K477</f>
        <v>2020</v>
      </c>
      <c r="B477" s="1731"/>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'ADMININSTRACIÓN DIR - OBRA'!B480</f>
        <v>2018-2021</v>
      </c>
      <c r="AN477" s="410"/>
      <c r="AO477" s="12"/>
    </row>
    <row r="478" spans="1:41" ht="30" hidden="1" customHeight="1">
      <c r="A478" s="158">
        <f>OBRA!K478</f>
        <v>2020</v>
      </c>
      <c r="B478" s="1731"/>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'ADMININSTRACIÓN DIR - OBRA'!B481</f>
        <v>2018-2021</v>
      </c>
      <c r="AN478" s="410"/>
      <c r="AO478" s="12"/>
    </row>
    <row r="479" spans="1:41" ht="30" hidden="1" customHeight="1">
      <c r="A479" s="158">
        <f>OBRA!K479</f>
        <v>2020</v>
      </c>
      <c r="B479" s="1731"/>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'ADMININSTRACIÓN DIR - OBRA'!B482</f>
        <v>2018-2021</v>
      </c>
      <c r="AN479" s="410"/>
      <c r="AO479" s="12"/>
    </row>
    <row r="480" spans="1:41" ht="30" hidden="1" customHeight="1">
      <c r="A480" s="158">
        <f>OBRA!K480</f>
        <v>2020</v>
      </c>
      <c r="B480" s="1731"/>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'ADMININSTRACIÓN DIR - OBRA'!B483</f>
        <v>2018-2021</v>
      </c>
      <c r="AN480" s="410"/>
      <c r="AO480" s="12"/>
    </row>
    <row r="481" spans="1:41" ht="30" hidden="1" customHeight="1">
      <c r="A481" s="158">
        <f>OBRA!K481</f>
        <v>2020</v>
      </c>
      <c r="B481" s="1731"/>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'ADMININSTRACIÓN DIR - OBRA'!B484</f>
        <v>2018-2021</v>
      </c>
      <c r="AN481" s="410"/>
      <c r="AO481" s="12"/>
    </row>
    <row r="482" spans="1:41" ht="30" hidden="1" customHeight="1">
      <c r="A482" s="158">
        <f>OBRA!K482</f>
        <v>2020</v>
      </c>
      <c r="B482" s="1731"/>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'ADMININSTRACIÓN DIR - OBRA'!B485</f>
        <v>2018-2021</v>
      </c>
      <c r="AN482" s="410"/>
      <c r="AO482" s="12"/>
    </row>
    <row r="483" spans="1:41" ht="30" hidden="1" customHeight="1">
      <c r="A483" s="158">
        <f>OBRA!K483</f>
        <v>2020</v>
      </c>
      <c r="B483" s="1731"/>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'ADMININSTRACIÓN DIR - OBRA'!B486</f>
        <v>2018-2021</v>
      </c>
      <c r="AN483" s="410"/>
      <c r="AO483" s="12"/>
    </row>
    <row r="484" spans="1:41" ht="30" hidden="1" customHeight="1">
      <c r="A484" s="158">
        <f>OBRA!K484</f>
        <v>2020</v>
      </c>
      <c r="B484" s="1731"/>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'ADMININSTRACIÓN DIR - OBRA'!B487</f>
        <v>2018-2021</v>
      </c>
      <c r="AN484" s="410"/>
      <c r="AO484" s="12"/>
    </row>
    <row r="485" spans="1:41" ht="30" hidden="1" customHeight="1">
      <c r="A485" s="158">
        <f>OBRA!K485</f>
        <v>2020</v>
      </c>
      <c r="B485" s="1731"/>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'ADMININSTRACIÓN DIR - OBRA'!B488</f>
        <v>2018-2021</v>
      </c>
      <c r="AN485" s="410"/>
      <c r="AO485" s="12"/>
    </row>
    <row r="486" spans="1:41" ht="30" hidden="1" customHeight="1">
      <c r="A486" s="158">
        <f>OBRA!K486</f>
        <v>2020</v>
      </c>
      <c r="B486" s="1731"/>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'ADMININSTRACIÓN DIR - OBRA'!B489</f>
        <v>2018-2021</v>
      </c>
      <c r="AN486" s="410"/>
      <c r="AO486" s="12"/>
    </row>
    <row r="487" spans="1:41" ht="30" hidden="1" customHeight="1">
      <c r="A487" s="158">
        <f>OBRA!K487</f>
        <v>2020</v>
      </c>
      <c r="B487" s="1731"/>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'ADMININSTRACIÓN DIR - OBRA'!B490</f>
        <v>2018-2021</v>
      </c>
      <c r="AN487" s="410"/>
      <c r="AO487" s="12"/>
    </row>
    <row r="488" spans="1:41" ht="30" hidden="1" customHeight="1">
      <c r="A488" s="158">
        <f>OBRA!K488</f>
        <v>2020</v>
      </c>
      <c r="B488" s="1731"/>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'ADMININSTRACIÓN DIR - OBRA'!B491</f>
        <v>2018-2021</v>
      </c>
      <c r="AN488" s="410"/>
      <c r="AO488" s="12"/>
    </row>
    <row r="489" spans="1:41" ht="30" hidden="1" customHeight="1">
      <c r="A489" s="158">
        <f>OBRA!K489</f>
        <v>2020</v>
      </c>
      <c r="B489" s="1731"/>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'ADMININSTRACIÓN DIR - OBRA'!B492</f>
        <v>2018-2021</v>
      </c>
      <c r="AN489" s="410"/>
      <c r="AO489" s="12"/>
    </row>
    <row r="490" spans="1:41" ht="30" hidden="1" customHeight="1">
      <c r="A490" s="158">
        <f>OBRA!K490</f>
        <v>2020</v>
      </c>
      <c r="B490" s="1731"/>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'ADMININSTRACIÓN DIR - OBRA'!B493</f>
        <v>2018-2021</v>
      </c>
      <c r="AN490" s="410"/>
      <c r="AO490" s="12"/>
    </row>
    <row r="491" spans="1:41" ht="30" hidden="1" customHeight="1">
      <c r="A491" s="158">
        <f>OBRA!K491</f>
        <v>2020</v>
      </c>
      <c r="B491" s="1731"/>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'ADMININSTRACIÓN DIR - OBRA'!B494</f>
        <v>2018-2021</v>
      </c>
      <c r="AN491" s="410"/>
      <c r="AO491" s="12"/>
    </row>
    <row r="492" spans="1:41" ht="30" hidden="1" customHeight="1">
      <c r="A492" s="158">
        <f>OBRA!K492</f>
        <v>2020</v>
      </c>
      <c r="B492" s="1731"/>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'ADMININSTRACIÓN DIR - OBRA'!B495</f>
        <v>2018-2021</v>
      </c>
      <c r="AN492" s="410"/>
      <c r="AO492" s="12"/>
    </row>
    <row r="493" spans="1:41" ht="30" hidden="1" customHeight="1">
      <c r="A493" s="158">
        <f>OBRA!K493</f>
        <v>2020</v>
      </c>
      <c r="B493" s="1731"/>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'ADMININSTRACIÓN DIR - OBRA'!B496</f>
        <v>2018-2021</v>
      </c>
      <c r="AN493" s="410"/>
      <c r="AO493" s="12"/>
    </row>
    <row r="494" spans="1:41" ht="30" hidden="1" customHeight="1">
      <c r="A494" s="158">
        <f>OBRA!K494</f>
        <v>2020</v>
      </c>
      <c r="B494" s="1731"/>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'ADMININSTRACIÓN DIR - OBRA'!B497</f>
        <v>2018-2021</v>
      </c>
      <c r="AN494" s="410"/>
      <c r="AO494" s="12"/>
    </row>
    <row r="495" spans="1:41" ht="30" hidden="1" customHeight="1">
      <c r="A495" s="158">
        <f>OBRA!K495</f>
        <v>2020</v>
      </c>
      <c r="B495" s="1731"/>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'ADMININSTRACIÓN DIR - OBRA'!B498</f>
        <v>2018-2021</v>
      </c>
      <c r="AN495" s="410"/>
      <c r="AO495" s="12"/>
    </row>
    <row r="496" spans="1:41" ht="30" hidden="1" customHeight="1">
      <c r="A496" s="158">
        <f>OBRA!K496</f>
        <v>2020</v>
      </c>
      <c r="B496" s="1731"/>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'ADMININSTRACIÓN DIR - OBRA'!B499</f>
        <v>2018-2021</v>
      </c>
      <c r="AN496" s="410"/>
      <c r="AO496" s="12"/>
    </row>
    <row r="497" spans="1:41" ht="30" hidden="1" customHeight="1">
      <c r="A497" s="158">
        <f>OBRA!K497</f>
        <v>2020</v>
      </c>
      <c r="B497" s="1731"/>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'ADMININSTRACIÓN DIR - OBRA'!B500</f>
        <v>2018-2021</v>
      </c>
      <c r="AN497" s="410"/>
      <c r="AO497" s="12"/>
    </row>
    <row r="498" spans="1:41" ht="30" hidden="1" customHeight="1">
      <c r="A498" s="158">
        <f>OBRA!K498</f>
        <v>2020</v>
      </c>
      <c r="B498" s="1731"/>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'ADMININSTRACIÓN DIR - OBRA'!B501</f>
        <v>2018-2021</v>
      </c>
      <c r="AN498" s="410"/>
      <c r="AO498" s="12"/>
    </row>
    <row r="499" spans="1:41" ht="30" hidden="1" customHeight="1">
      <c r="A499" s="158">
        <f>OBRA!K499</f>
        <v>2020</v>
      </c>
      <c r="B499" s="1731"/>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'ADMININSTRACIÓN DIR - OBRA'!B502</f>
        <v>2018-2021</v>
      </c>
      <c r="AN499" s="410"/>
      <c r="AO499" s="12"/>
    </row>
    <row r="500" spans="1:41" ht="30" hidden="1" customHeight="1">
      <c r="A500" s="158">
        <f>OBRA!K500</f>
        <v>2020</v>
      </c>
      <c r="B500" s="1731"/>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'ADMININSTRACIÓN DIR - OBRA'!B503</f>
        <v>2018-2021</v>
      </c>
      <c r="AN500" s="410"/>
      <c r="AO500" s="12"/>
    </row>
    <row r="501" spans="1:41" ht="30" hidden="1" customHeight="1">
      <c r="A501" s="158">
        <f>OBRA!K501</f>
        <v>2020</v>
      </c>
      <c r="B501" s="1731"/>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'ADMININSTRACIÓN DIR - OBRA'!B504</f>
        <v>2018-2021</v>
      </c>
      <c r="AN501" s="410"/>
      <c r="AO501" s="12"/>
    </row>
    <row r="502" spans="1:41" ht="30" hidden="1" customHeight="1">
      <c r="A502" s="158">
        <f>OBRA!K502</f>
        <v>2020</v>
      </c>
      <c r="B502" s="1731"/>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'ADMININSTRACIÓN DIR - OBRA'!B505</f>
        <v>2018-2021</v>
      </c>
      <c r="AN502" s="410"/>
      <c r="AO502" s="12"/>
    </row>
    <row r="503" spans="1:41" ht="30" hidden="1" customHeight="1">
      <c r="A503" s="158">
        <f>OBRA!K503</f>
        <v>2020</v>
      </c>
      <c r="B503" s="1731"/>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'ADMININSTRACIÓN DIR - OBRA'!B506</f>
        <v>2018-2021</v>
      </c>
      <c r="AN503" s="410"/>
      <c r="AO503" s="12"/>
    </row>
    <row r="504" spans="1:41" ht="30" hidden="1" customHeight="1">
      <c r="A504" s="158">
        <f>OBRA!K504</f>
        <v>2020</v>
      </c>
      <c r="B504" s="1731"/>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'ADMININSTRACIÓN DIR - OBRA'!B507</f>
        <v>2018-2021</v>
      </c>
      <c r="AN504" s="410"/>
      <c r="AO504" s="12"/>
    </row>
    <row r="505" spans="1:41" ht="30" hidden="1" customHeight="1">
      <c r="A505" s="158">
        <f>OBRA!K505</f>
        <v>2020</v>
      </c>
      <c r="B505" s="1731"/>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'ADMININSTRACIÓN DIR - OBRA'!B508</f>
        <v>2018-2021</v>
      </c>
      <c r="AN505" s="410"/>
      <c r="AO505" s="12"/>
    </row>
    <row r="506" spans="1:41" ht="30" hidden="1" customHeight="1">
      <c r="A506" s="158">
        <f>OBRA!K506</f>
        <v>2020</v>
      </c>
      <c r="B506" s="1731"/>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'ADMININSTRACIÓN DIR - OBRA'!B509</f>
        <v>2018-2021</v>
      </c>
      <c r="AN506" s="410"/>
      <c r="AO506" s="12"/>
    </row>
    <row r="507" spans="1:41" ht="30" hidden="1" customHeight="1">
      <c r="A507" s="158">
        <f>OBRA!K507</f>
        <v>2020</v>
      </c>
      <c r="B507" s="1731"/>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'ADMININSTRACIÓN DIR - OBRA'!B510</f>
        <v>2018-2021</v>
      </c>
      <c r="AN507" s="410"/>
      <c r="AO507" s="12"/>
    </row>
    <row r="508" spans="1:41" ht="30" hidden="1" customHeight="1">
      <c r="A508" s="158">
        <f>OBRA!K508</f>
        <v>2020</v>
      </c>
      <c r="B508" s="1731"/>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'ADMININSTRACIÓN DIR - OBRA'!B511</f>
        <v>2018-2021</v>
      </c>
      <c r="AN508" s="410"/>
      <c r="AO508" s="12"/>
    </row>
    <row r="509" spans="1:41" ht="30" hidden="1" customHeight="1">
      <c r="A509" s="158">
        <f>OBRA!K509</f>
        <v>2020</v>
      </c>
      <c r="B509" s="1731"/>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'ADMININSTRACIÓN DIR - OBRA'!B512</f>
        <v>2018-2021</v>
      </c>
      <c r="AN509" s="410"/>
      <c r="AO509" s="12"/>
    </row>
    <row r="510" spans="1:41" ht="30" hidden="1" customHeight="1">
      <c r="A510" s="158">
        <f>OBRA!K510</f>
        <v>2020</v>
      </c>
      <c r="B510" s="1731"/>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'ADMININSTRACIÓN DIR - OBRA'!B513</f>
        <v>2018-2021</v>
      </c>
      <c r="AN510" s="410"/>
      <c r="AO510" s="12"/>
    </row>
    <row r="511" spans="1:41" ht="30" hidden="1" customHeight="1">
      <c r="A511" s="158">
        <f>OBRA!K511</f>
        <v>2020</v>
      </c>
      <c r="B511" s="1731"/>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'ADMININSTRACIÓN DIR - OBRA'!B514</f>
        <v>2018-2021</v>
      </c>
      <c r="AN511" s="410"/>
      <c r="AO511" s="12"/>
    </row>
    <row r="512" spans="1:41" ht="30" hidden="1" customHeight="1">
      <c r="A512" s="158">
        <f>OBRA!K512</f>
        <v>2020</v>
      </c>
      <c r="B512" s="1731"/>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'ADMININSTRACIÓN DIR - OBRA'!B515</f>
        <v>2018-2021</v>
      </c>
      <c r="AN512" s="410"/>
      <c r="AO512" s="12"/>
    </row>
    <row r="513" spans="1:41" ht="30" hidden="1" customHeight="1">
      <c r="A513" s="158">
        <f>OBRA!K513</f>
        <v>2020</v>
      </c>
      <c r="B513" s="1731"/>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'ADMININSTRACIÓN DIR - OBRA'!B516</f>
        <v>2018-2021</v>
      </c>
      <c r="AN513" s="410"/>
      <c r="AO513" s="12"/>
    </row>
    <row r="514" spans="1:41" ht="181.5" hidden="1" customHeight="1">
      <c r="A514" s="158">
        <f>OBRA!K514</f>
        <v>2020</v>
      </c>
      <c r="B514" s="1733" t="str">
        <f>W514</f>
        <v>GMJ 027C- OP/2020</v>
      </c>
      <c r="C514" s="1295" t="s">
        <v>4621</v>
      </c>
      <c r="D514" s="1638" t="s">
        <v>4624</v>
      </c>
      <c r="E514" s="148" t="s">
        <v>4623</v>
      </c>
      <c r="F514" s="1366" t="s">
        <v>3812</v>
      </c>
      <c r="G514" s="504" t="s">
        <v>4621</v>
      </c>
      <c r="H514" s="166">
        <f>OBRA!AG514</f>
        <v>43983</v>
      </c>
      <c r="I514" s="503" t="s">
        <v>4621</v>
      </c>
      <c r="J514" s="1636">
        <f>OBRA!AH514</f>
        <v>43990</v>
      </c>
      <c r="K514" s="1637" t="s">
        <v>4621</v>
      </c>
      <c r="L514" s="166">
        <f>OBRA!AI514</f>
        <v>43990</v>
      </c>
      <c r="M514" s="549" t="s">
        <v>4621</v>
      </c>
      <c r="N514" s="166">
        <f>OBRA!AJ514</f>
        <v>44000</v>
      </c>
      <c r="O514" s="1618" t="s">
        <v>4593</v>
      </c>
      <c r="P514" s="550">
        <v>0.5</v>
      </c>
      <c r="Q514" s="527" t="s">
        <v>4621</v>
      </c>
      <c r="R514" s="206">
        <f>OBRA!AK514</f>
        <v>44007</v>
      </c>
      <c r="S514" s="1360" t="s">
        <v>4622</v>
      </c>
      <c r="T514" s="400" t="str">
        <f>OBRA!X514</f>
        <v>CONVADI, S.A. DE C.V.</v>
      </c>
      <c r="U514" s="409" t="str">
        <f>OBRA!Y514</f>
        <v>ING. J. GUADALUPE IBARRA RAMIREZ</v>
      </c>
      <c r="V514" s="1484"/>
      <c r="W514" s="33" t="str">
        <f>OBRA!O514</f>
        <v>GMJ 027C- OP/2020</v>
      </c>
      <c r="X514" s="1349" t="s">
        <v>4025</v>
      </c>
      <c r="Y514" s="12" t="s">
        <v>3338</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3819</v>
      </c>
      <c r="AI514" s="212" t="s">
        <v>2313</v>
      </c>
      <c r="AJ514" s="496" t="s">
        <v>4621</v>
      </c>
      <c r="AK514" s="496" t="s">
        <v>4621</v>
      </c>
      <c r="AL514" s="697" t="s">
        <v>4621</v>
      </c>
      <c r="AM514" s="1267" t="str">
        <f>'ADMININSTRACIÓN DIR - OBRA'!B517</f>
        <v>2018-2021</v>
      </c>
      <c r="AN514" s="410" t="s">
        <v>550</v>
      </c>
      <c r="AO514" s="12"/>
    </row>
    <row r="515" spans="1:41" ht="207.75" hidden="1" customHeight="1">
      <c r="A515" s="158">
        <f>OBRA!K515</f>
        <v>2020</v>
      </c>
      <c r="B515" s="1733" t="str">
        <f>W515</f>
        <v>FOCOCI-OP-CSS-028/2020</v>
      </c>
      <c r="C515" s="1295" t="s">
        <v>3797</v>
      </c>
      <c r="D515" s="1638" t="s">
        <v>5806</v>
      </c>
      <c r="E515" s="1365" t="s">
        <v>3814</v>
      </c>
      <c r="F515" s="1364" t="s">
        <v>3813</v>
      </c>
      <c r="G515" s="504" t="s">
        <v>3797</v>
      </c>
      <c r="H515" s="572">
        <f>OBRA!AG515</f>
        <v>44099</v>
      </c>
      <c r="I515" s="1265" t="s">
        <v>3542</v>
      </c>
      <c r="J515" s="573">
        <f>OBRA!AH515</f>
        <v>44102</v>
      </c>
      <c r="K515" s="527" t="s">
        <v>3542</v>
      </c>
      <c r="L515" s="1341">
        <f>OBRA!AI515</f>
        <v>44103</v>
      </c>
      <c r="M515" s="503" t="s">
        <v>3542</v>
      </c>
      <c r="N515" s="572">
        <f>OBRA!AJ515</f>
        <v>44109</v>
      </c>
      <c r="O515" s="1618" t="s">
        <v>4593</v>
      </c>
      <c r="P515" s="550">
        <v>0.5</v>
      </c>
      <c r="Q515" s="1265" t="s">
        <v>3542</v>
      </c>
      <c r="R515" s="206">
        <f>OBRA!AK515</f>
        <v>44113</v>
      </c>
      <c r="S515" s="1297" t="s">
        <v>3637</v>
      </c>
      <c r="T515" s="400" t="str">
        <f>OBRA!X515</f>
        <v>ING. SERGIO CABRERA</v>
      </c>
      <c r="U515" s="409" t="str">
        <f>OBRA!Y515</f>
        <v>ARQ. EDUARDO ROMERO CARRILLO</v>
      </c>
      <c r="V515" s="1484" t="s">
        <v>4024</v>
      </c>
      <c r="W515" s="33" t="str">
        <f>OBRA!O515</f>
        <v>FOCOCI-OP-CSS-028/2020</v>
      </c>
      <c r="X515" s="415" t="s">
        <v>3507</v>
      </c>
      <c r="Y515" s="1226" t="s">
        <v>3629</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3819</v>
      </c>
      <c r="AI515" s="212" t="s">
        <v>2313</v>
      </c>
      <c r="AJ515" s="527" t="s">
        <v>3809</v>
      </c>
      <c r="AK515" s="527" t="s">
        <v>3797</v>
      </c>
      <c r="AL515" s="605" t="s">
        <v>3542</v>
      </c>
      <c r="AM515" s="1266" t="str">
        <f>'ADMININSTRACIÓN DIR - OBRA'!B520</f>
        <v>2018-2021</v>
      </c>
      <c r="AN515" s="410" t="s">
        <v>550</v>
      </c>
      <c r="AO515" s="12"/>
    </row>
    <row r="516" spans="1:41" ht="204.75" hidden="1" customHeight="1">
      <c r="A516" s="158">
        <f>OBRA!K516</f>
        <v>2020</v>
      </c>
      <c r="B516" s="1733" t="str">
        <f>W516</f>
        <v>FOCOCI-OP-CSS-029/2020</v>
      </c>
      <c r="C516" s="1295" t="s">
        <v>3796</v>
      </c>
      <c r="D516" s="1638" t="s">
        <v>5806</v>
      </c>
      <c r="E516" s="1365" t="s">
        <v>3814</v>
      </c>
      <c r="F516" s="1364" t="s">
        <v>3813</v>
      </c>
      <c r="G516" s="504" t="s">
        <v>3796</v>
      </c>
      <c r="H516" s="572">
        <f>OBRA!AG516</f>
        <v>44099</v>
      </c>
      <c r="I516" s="1265" t="s">
        <v>3543</v>
      </c>
      <c r="J516" s="573">
        <f>OBRA!AH516</f>
        <v>44102</v>
      </c>
      <c r="K516" s="527" t="s">
        <v>3543</v>
      </c>
      <c r="L516" s="1341">
        <f>OBRA!AI516</f>
        <v>44103</v>
      </c>
      <c r="M516" s="503" t="s">
        <v>3543</v>
      </c>
      <c r="N516" s="572">
        <f>OBRA!AJ516</f>
        <v>44109</v>
      </c>
      <c r="O516" s="1618" t="s">
        <v>4593</v>
      </c>
      <c r="P516" s="550">
        <v>0.54166666666666663</v>
      </c>
      <c r="Q516" s="1265" t="s">
        <v>3543</v>
      </c>
      <c r="R516" s="206">
        <f>OBRA!AK516</f>
        <v>44113</v>
      </c>
      <c r="S516" s="1298" t="s">
        <v>3638</v>
      </c>
      <c r="T516" s="400" t="str">
        <f>OBRA!X516</f>
        <v xml:space="preserve">SOJO SERVICIOS DE INGENIERIA Y OBRAS, S.A. DE C.V. </v>
      </c>
      <c r="U516" s="55" t="str">
        <f>OBRA!Y516</f>
        <v>ARQ. EDUARDO ROMERO CARRILLO</v>
      </c>
      <c r="V516" s="1484" t="s">
        <v>4024</v>
      </c>
      <c r="W516" s="33" t="str">
        <f>OBRA!O516</f>
        <v>FOCOCI-OP-CSS-029/2020</v>
      </c>
      <c r="X516" s="415" t="s">
        <v>3507</v>
      </c>
      <c r="Y516" s="1226" t="s">
        <v>3369</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3819</v>
      </c>
      <c r="AI516" s="212" t="s">
        <v>2313</v>
      </c>
      <c r="AJ516" s="527" t="s">
        <v>3795</v>
      </c>
      <c r="AK516" s="527" t="s">
        <v>3796</v>
      </c>
      <c r="AL516" s="605" t="s">
        <v>3543</v>
      </c>
      <c r="AM516" s="1267" t="str">
        <f>'ADMININSTRACIÓN DIR - OBRA'!B521</f>
        <v>2018-2021</v>
      </c>
      <c r="AN516" s="410" t="s">
        <v>550</v>
      </c>
      <c r="AO516" s="12"/>
    </row>
    <row r="517" spans="1:41" ht="207" hidden="1" customHeight="1">
      <c r="A517" s="158">
        <f>OBRA!K517</f>
        <v>2020</v>
      </c>
      <c r="B517" s="1733" t="str">
        <f>W517</f>
        <v>FOCOCI-OP-CSS-030/2020</v>
      </c>
      <c r="C517" s="1295" t="s">
        <v>3627</v>
      </c>
      <c r="D517" s="1638" t="s">
        <v>5806</v>
      </c>
      <c r="E517" s="148" t="s">
        <v>3814</v>
      </c>
      <c r="F517" s="1366" t="s">
        <v>3812</v>
      </c>
      <c r="G517" s="504" t="s">
        <v>3627</v>
      </c>
      <c r="H517" s="572">
        <f>OBRA!AG517</f>
        <v>44099</v>
      </c>
      <c r="I517" s="503" t="s">
        <v>3627</v>
      </c>
      <c r="J517" s="573">
        <f>OBRA!AH517</f>
        <v>44102</v>
      </c>
      <c r="K517" s="527" t="s">
        <v>3627</v>
      </c>
      <c r="L517" s="1341">
        <f>OBRA!AI517</f>
        <v>44103</v>
      </c>
      <c r="M517" s="503" t="s">
        <v>3627</v>
      </c>
      <c r="N517" s="572">
        <f>OBRA!AJ517</f>
        <v>44109</v>
      </c>
      <c r="O517" s="1618" t="s">
        <v>4593</v>
      </c>
      <c r="P517" s="550">
        <v>0.70833333333333337</v>
      </c>
      <c r="Q517" s="503" t="s">
        <v>3627</v>
      </c>
      <c r="R517" s="206">
        <f>OBRA!AK517</f>
        <v>44109</v>
      </c>
      <c r="S517" s="1298" t="s">
        <v>3639</v>
      </c>
      <c r="T517" s="400" t="str">
        <f>OBRA!X517</f>
        <v xml:space="preserve">DESARROLLO DAP S.A. DE C.V. </v>
      </c>
      <c r="U517" s="409" t="str">
        <f>OBRA!Y517</f>
        <v>LIC. SALVADOR CONTRERAS OLGUÍN</v>
      </c>
      <c r="V517" s="1484" t="s">
        <v>4024</v>
      </c>
      <c r="W517" s="33" t="str">
        <f>OBRA!O517</f>
        <v>FOCOCI-OP-CSS-030/2020</v>
      </c>
      <c r="X517" s="415" t="s">
        <v>3507</v>
      </c>
      <c r="Y517" s="1226" t="s">
        <v>3368</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3819</v>
      </c>
      <c r="AI517" s="212" t="s">
        <v>2313</v>
      </c>
      <c r="AJ517" s="527" t="s">
        <v>3810</v>
      </c>
      <c r="AK517" s="527" t="s">
        <v>3810</v>
      </c>
      <c r="AL517" s="605" t="s">
        <v>3810</v>
      </c>
      <c r="AM517" s="479" t="str">
        <f>OBRA!CE517</f>
        <v>2018-2021</v>
      </c>
      <c r="AN517" s="410" t="s">
        <v>550</v>
      </c>
      <c r="AO517" s="12"/>
    </row>
    <row r="518" spans="1:41" ht="204" hidden="1" customHeight="1">
      <c r="A518" s="158">
        <f>OBRA!K518</f>
        <v>2020</v>
      </c>
      <c r="B518" s="1733" t="str">
        <f>W518</f>
        <v>FOCOCI-OP-CSS-031/2020</v>
      </c>
      <c r="C518" s="1295" t="s">
        <v>3628</v>
      </c>
      <c r="D518" s="1638" t="s">
        <v>5806</v>
      </c>
      <c r="E518" s="1365" t="s">
        <v>3814</v>
      </c>
      <c r="F518" s="1366" t="s">
        <v>3812</v>
      </c>
      <c r="G518" s="504" t="s">
        <v>3628</v>
      </c>
      <c r="H518" s="572">
        <f>OBRA!AG518</f>
        <v>44099</v>
      </c>
      <c r="I518" s="503" t="s">
        <v>3811</v>
      </c>
      <c r="J518" s="573">
        <f>OBRA!AH518</f>
        <v>44467</v>
      </c>
      <c r="K518" s="527" t="s">
        <v>3628</v>
      </c>
      <c r="L518" s="1341">
        <f>OBRA!AI518</f>
        <v>44103</v>
      </c>
      <c r="M518" s="503" t="s">
        <v>3628</v>
      </c>
      <c r="N518" s="572">
        <f>OBRA!AJ518</f>
        <v>44109</v>
      </c>
      <c r="O518" s="1618" t="s">
        <v>4593</v>
      </c>
      <c r="P518" s="550">
        <v>0.75</v>
      </c>
      <c r="Q518" s="503" t="s">
        <v>3628</v>
      </c>
      <c r="R518" s="206">
        <f>OBRA!AK518</f>
        <v>44113</v>
      </c>
      <c r="S518" s="1298" t="s">
        <v>3639</v>
      </c>
      <c r="T518" s="400" t="str">
        <f>OBRA!X518</f>
        <v xml:space="preserve">JUAN PABLO BALLESTEROS ARREOLA </v>
      </c>
      <c r="U518" s="409" t="str">
        <f>OBRA!Y518</f>
        <v>LIC. SALVADOR CONTRERAS OLGUÍN</v>
      </c>
      <c r="V518" s="1484" t="s">
        <v>4024</v>
      </c>
      <c r="W518" s="33" t="str">
        <f>OBRA!O518</f>
        <v>FOCOCI-OP-CSS-031/2020</v>
      </c>
      <c r="X518" s="415" t="s">
        <v>3507</v>
      </c>
      <c r="Y518" s="1226" t="s">
        <v>3368</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3819</v>
      </c>
      <c r="AI518" s="212" t="s">
        <v>2313</v>
      </c>
      <c r="AJ518" s="527" t="s">
        <v>3811</v>
      </c>
      <c r="AK518" s="527" t="s">
        <v>3811</v>
      </c>
      <c r="AL518" s="605" t="s">
        <v>3811</v>
      </c>
      <c r="AM518" s="479" t="str">
        <f>OBRA!CE518</f>
        <v>2018-2021</v>
      </c>
      <c r="AN518" s="410" t="s">
        <v>550</v>
      </c>
      <c r="AO518" s="12"/>
    </row>
    <row r="519" spans="1:41" ht="30" hidden="1" customHeight="1">
      <c r="A519" s="158">
        <f>OBRA!K519</f>
        <v>2020</v>
      </c>
      <c r="B519" s="1731"/>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'ADMININSTRACIÓN DIR - OBRA'!B522</f>
        <v>2018-2021</v>
      </c>
      <c r="AN519" s="410"/>
      <c r="AO519" s="12"/>
    </row>
    <row r="520" spans="1:41" ht="30" hidden="1" customHeight="1">
      <c r="A520" s="158">
        <f>OBRA!K520</f>
        <v>2020</v>
      </c>
      <c r="B520" s="1731"/>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'ADMININSTRACIÓN DIR - OBRA'!B523</f>
        <v>2018-2021</v>
      </c>
      <c r="AN520" s="410"/>
      <c r="AO520" s="12"/>
    </row>
    <row r="521" spans="1:41" ht="30" hidden="1" customHeight="1">
      <c r="A521" s="158">
        <f>OBRA!K521</f>
        <v>2020</v>
      </c>
      <c r="B521" s="1731"/>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31"/>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'ADMININSTRACIÓN DIR - OBRA'!B524</f>
        <v>2018-2021</v>
      </c>
      <c r="AN522" s="410"/>
      <c r="AO522" s="12"/>
    </row>
    <row r="523" spans="1:41" ht="27" hidden="1" thickTop="1">
      <c r="A523" s="158">
        <f>OBRA!K523</f>
        <v>2020</v>
      </c>
      <c r="B523" s="1731"/>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'ADMININSTRACIÓN DIR - OBRA'!B525</f>
        <v>2018-2021</v>
      </c>
      <c r="AN523" s="410"/>
      <c r="AO523" s="12"/>
    </row>
    <row r="524" spans="1:41" ht="30" hidden="1" customHeight="1">
      <c r="A524" s="158">
        <f>OBRA!K524</f>
        <v>2020</v>
      </c>
      <c r="B524" s="1731"/>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'ADMININSTRACIÓN DIR - OBRA'!B526</f>
        <v>2018-2021</v>
      </c>
      <c r="AN524" s="410"/>
      <c r="AO524" s="12"/>
    </row>
    <row r="525" spans="1:41" ht="30" hidden="1" customHeight="1">
      <c r="A525" s="158">
        <f>OBRA!K525</f>
        <v>2020</v>
      </c>
      <c r="B525" s="1731"/>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'ADMININSTRACIÓN DIR - OBRA'!B527</f>
        <v>2018-2021</v>
      </c>
      <c r="AN525" s="410"/>
      <c r="AO525" s="12"/>
    </row>
    <row r="526" spans="1:41" ht="30" hidden="1" customHeight="1">
      <c r="A526" s="158">
        <f>OBRA!K526</f>
        <v>2021</v>
      </c>
      <c r="B526" s="1731"/>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31"/>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'ADMININSTRACIÓN DIR - OBRA'!B529</f>
        <v>2018-2021</v>
      </c>
      <c r="AN527" s="410"/>
      <c r="AO527" s="12"/>
    </row>
    <row r="528" spans="1:41" ht="30" hidden="1" customHeight="1">
      <c r="A528" s="158">
        <f>OBRA!K528</f>
        <v>2021</v>
      </c>
      <c r="B528" s="1731"/>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'ADMININSTRACIÓN DIR - OBRA'!B530</f>
        <v>2018-2021</v>
      </c>
      <c r="AN528" s="410"/>
      <c r="AO528" s="12"/>
    </row>
    <row r="529" spans="1:41" ht="30" hidden="1" customHeight="1">
      <c r="A529" s="158">
        <f>OBRA!K529</f>
        <v>2021</v>
      </c>
      <c r="B529" s="1731"/>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'ADMININSTRACIÓN DIR - OBRA'!B531</f>
        <v>2018-2021</v>
      </c>
      <c r="AN529" s="410"/>
      <c r="AO529" s="12"/>
    </row>
    <row r="530" spans="1:41" ht="30" hidden="1" customHeight="1">
      <c r="A530" s="158">
        <f>OBRA!K530</f>
        <v>2021</v>
      </c>
      <c r="B530" s="1731"/>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'ADMININSTRACIÓN DIR - OBRA'!B532</f>
        <v>2018-2021</v>
      </c>
      <c r="AN530" s="410"/>
      <c r="AO530" s="12"/>
    </row>
    <row r="531" spans="1:41" ht="30" hidden="1" customHeight="1">
      <c r="A531" s="158">
        <f>OBRA!K531</f>
        <v>2021</v>
      </c>
      <c r="B531" s="1731"/>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'ADMININSTRACIÓN DIR - OBRA'!B533</f>
        <v>2018-2021</v>
      </c>
      <c r="AN531" s="410"/>
      <c r="AO531" s="12"/>
    </row>
    <row r="532" spans="1:41" ht="30" hidden="1" customHeight="1">
      <c r="A532" s="158">
        <f>OBRA!K532</f>
        <v>2021</v>
      </c>
      <c r="B532" s="1731"/>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'ADMININSTRACIÓN DIR - OBRA'!B534</f>
        <v>2018-2021</v>
      </c>
      <c r="AN532" s="410"/>
      <c r="AO532" s="12"/>
    </row>
    <row r="533" spans="1:41" ht="30" hidden="1" customHeight="1">
      <c r="A533" s="158">
        <f>OBRA!K533</f>
        <v>2021</v>
      </c>
      <c r="B533" s="1731"/>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'ADMININSTRACIÓN DIR - OBRA'!B535</f>
        <v>2018-2021</v>
      </c>
      <c r="AN533" s="410"/>
      <c r="AO533" s="12"/>
    </row>
    <row r="534" spans="1:41" ht="30" hidden="1" customHeight="1">
      <c r="A534" s="158">
        <f>OBRA!K534</f>
        <v>2021</v>
      </c>
      <c r="B534" s="1731"/>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'ADMININSTRACIÓN DIR - OBRA'!B536</f>
        <v>2018-2021</v>
      </c>
      <c r="AN534" s="410"/>
      <c r="AO534" s="12"/>
    </row>
    <row r="535" spans="1:41" ht="30" hidden="1" customHeight="1">
      <c r="A535" s="158">
        <f>OBRA!K535</f>
        <v>2021</v>
      </c>
      <c r="B535" s="1731"/>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'ADMININSTRACIÓN DIR - OBRA'!B537</f>
        <v>2018-2021</v>
      </c>
      <c r="AN535" s="410"/>
      <c r="AO535" s="12"/>
    </row>
    <row r="536" spans="1:41" ht="30" hidden="1" customHeight="1">
      <c r="A536" s="158">
        <f>OBRA!K537</f>
        <v>2021</v>
      </c>
      <c r="B536" s="1731"/>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'ADMININSTRACIÓN DIR - OBRA'!B539</f>
        <v>2018-2021</v>
      </c>
      <c r="AN536" s="410"/>
      <c r="AO536" s="12"/>
    </row>
    <row r="537" spans="1:41" ht="30" hidden="1" customHeight="1">
      <c r="A537" s="158">
        <f>OBRA!K538</f>
        <v>2021</v>
      </c>
      <c r="B537" s="1731"/>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'ADMININSTRACIÓN DIR - OBRA'!B540</f>
        <v>2018-2021</v>
      </c>
      <c r="AN537" s="410"/>
      <c r="AO537" s="12"/>
    </row>
    <row r="538" spans="1:41" ht="30" hidden="1" customHeight="1">
      <c r="A538" s="158">
        <f>OBRA!K539</f>
        <v>2021</v>
      </c>
      <c r="B538" s="1731"/>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'ADMININSTRACIÓN DIR - OBRA'!B541</f>
        <v>2018-2021</v>
      </c>
      <c r="AN538" s="410"/>
      <c r="AO538" s="12"/>
    </row>
    <row r="539" spans="1:41" ht="30" hidden="1" customHeight="1">
      <c r="A539" s="158">
        <f>OBRA!K540</f>
        <v>2021</v>
      </c>
      <c r="B539" s="1731"/>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'ADMININSTRACIÓN DIR - OBRA'!B542</f>
        <v>2018-2021</v>
      </c>
      <c r="AN539" s="410"/>
      <c r="AO539" s="12"/>
    </row>
    <row r="540" spans="1:41" ht="30" hidden="1" customHeight="1">
      <c r="A540" s="158">
        <f>OBRA!K541</f>
        <v>2021</v>
      </c>
      <c r="B540" s="1731"/>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'ADMININSTRACIÓN DIR - OBRA'!B543</f>
        <v>2018-2021</v>
      </c>
      <c r="AN540" s="410"/>
      <c r="AO540" s="12"/>
    </row>
    <row r="541" spans="1:41" ht="30" hidden="1" customHeight="1">
      <c r="A541" s="158">
        <f>OBRA!K542</f>
        <v>2021</v>
      </c>
      <c r="B541" s="1731"/>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'ADMININSTRACIÓN DIR - OBRA'!B544</f>
        <v>2018-2021</v>
      </c>
      <c r="AN541" s="410"/>
      <c r="AO541" s="12"/>
    </row>
    <row r="542" spans="1:41" ht="30" hidden="1" customHeight="1">
      <c r="A542" s="158">
        <f>OBRA!K543</f>
        <v>2021</v>
      </c>
      <c r="B542" s="1731"/>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'ADMININSTRACIÓN DIR - OBRA'!B545</f>
        <v>2018-2021</v>
      </c>
      <c r="AN542" s="410"/>
      <c r="AO542" s="12"/>
    </row>
    <row r="543" spans="1:41" ht="30" hidden="1" customHeight="1">
      <c r="A543" s="158">
        <f>OBRA!K544</f>
        <v>2021</v>
      </c>
      <c r="B543" s="1731"/>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'ADMININSTRACIÓN DIR - OBRA'!B546</f>
        <v>2018-2021</v>
      </c>
      <c r="AN543" s="410"/>
      <c r="AO543" s="12"/>
    </row>
    <row r="544" spans="1:41" ht="30" hidden="1" customHeight="1">
      <c r="A544" s="158">
        <f>OBRA!K545</f>
        <v>2021</v>
      </c>
      <c r="B544" s="1731"/>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'ADMININSTRACIÓN DIR - OBRA'!B547</f>
        <v>2018-2021</v>
      </c>
      <c r="AN544" s="410"/>
      <c r="AO544" s="12"/>
    </row>
    <row r="545" spans="1:41" ht="30" hidden="1" customHeight="1">
      <c r="A545" s="158">
        <f>OBRA!K546</f>
        <v>2021</v>
      </c>
      <c r="B545" s="1731"/>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'ADMININSTRACIÓN DIR - OBRA'!B548</f>
        <v>2018-2021</v>
      </c>
      <c r="AN545" s="410"/>
      <c r="AO545" s="12"/>
    </row>
    <row r="546" spans="1:41" ht="30" hidden="1" customHeight="1">
      <c r="A546" s="158">
        <f>OBRA!K547</f>
        <v>2021</v>
      </c>
      <c r="B546" s="1731"/>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'ADMININSTRACIÓN DIR - OBRA'!B549</f>
        <v>2018-2021</v>
      </c>
      <c r="AN546" s="410"/>
      <c r="AO546" s="12"/>
    </row>
    <row r="547" spans="1:41" ht="30" hidden="1" customHeight="1">
      <c r="A547" s="158">
        <f>OBRA!K548</f>
        <v>2021</v>
      </c>
      <c r="B547" s="1731"/>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'ADMININSTRACIÓN DIR - OBRA'!B550</f>
        <v>2018-2021</v>
      </c>
      <c r="AN547" s="410"/>
      <c r="AO547" s="12"/>
    </row>
    <row r="548" spans="1:41" ht="30" hidden="1" customHeight="1">
      <c r="A548" s="158">
        <f>OBRA!K549</f>
        <v>2021</v>
      </c>
      <c r="B548" s="1731"/>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'ADMININSTRACIÓN DIR - OBRA'!B551</f>
        <v>2018-2021</v>
      </c>
      <c r="AN548" s="410"/>
      <c r="AO548" s="12"/>
    </row>
    <row r="549" spans="1:41" ht="30" hidden="1" customHeight="1">
      <c r="A549" s="158">
        <f>OBRA!K550</f>
        <v>2021</v>
      </c>
      <c r="B549" s="1731"/>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'ADMININSTRACIÓN DIR - OBRA'!B552</f>
        <v>2018-2021</v>
      </c>
      <c r="AN549" s="410"/>
      <c r="AO549" s="12"/>
    </row>
    <row r="550" spans="1:41" ht="30" hidden="1" customHeight="1">
      <c r="A550" s="158">
        <f>OBRA!K551</f>
        <v>2021</v>
      </c>
      <c r="B550" s="1731"/>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'ADMININSTRACIÓN DIR - OBRA'!B553</f>
        <v>2018-2021</v>
      </c>
      <c r="AN550" s="410"/>
      <c r="AO550" s="12"/>
    </row>
    <row r="551" spans="1:41" ht="30" hidden="1" customHeight="1">
      <c r="A551" s="158">
        <f>OBRA!K552</f>
        <v>2021</v>
      </c>
      <c r="B551" s="1731"/>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'ADMININSTRACIÓN DIR - OBRA'!B554</f>
        <v>2018-2021</v>
      </c>
      <c r="AN551" s="410"/>
      <c r="AO551" s="12"/>
    </row>
    <row r="552" spans="1:41" ht="30" hidden="1" customHeight="1">
      <c r="A552" s="158">
        <f>OBRA!K553</f>
        <v>2021</v>
      </c>
      <c r="B552" s="1731"/>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'ADMININSTRACIÓN DIR - OBRA'!B555</f>
        <v>2018-2021</v>
      </c>
      <c r="AN552" s="410"/>
      <c r="AO552" s="12"/>
    </row>
    <row r="553" spans="1:41" ht="30" hidden="1" customHeight="1">
      <c r="A553" s="158">
        <f>OBRA!K554</f>
        <v>2021</v>
      </c>
      <c r="B553" s="1731"/>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'ADMININSTRACIÓN DIR - OBRA'!B556</f>
        <v>2018-2021</v>
      </c>
      <c r="AN553" s="410"/>
      <c r="AO553" s="12"/>
    </row>
    <row r="554" spans="1:41" ht="30" hidden="1" customHeight="1">
      <c r="A554" s="158">
        <f>OBRA!K555</f>
        <v>2021</v>
      </c>
      <c r="B554" s="1731"/>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'ADMININSTRACIÓN DIR - OBRA'!B557</f>
        <v>2018-2021</v>
      </c>
      <c r="AN554" s="410"/>
      <c r="AO554" s="12"/>
    </row>
    <row r="555" spans="1:41" ht="30" hidden="1" customHeight="1">
      <c r="A555" s="158">
        <f>OBRA!K556</f>
        <v>2021</v>
      </c>
      <c r="B555" s="1731"/>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'ADMININSTRACIÓN DIR - OBRA'!B558</f>
        <v>2018-2021</v>
      </c>
      <c r="AN555" s="410"/>
      <c r="AO555" s="12"/>
    </row>
    <row r="556" spans="1:41" ht="30" hidden="1" customHeight="1">
      <c r="A556" s="158">
        <f>OBRA!K557</f>
        <v>2021</v>
      </c>
      <c r="B556" s="1731"/>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'ADMININSTRACIÓN DIR - OBRA'!B559</f>
        <v>2018-2021</v>
      </c>
      <c r="AN556" s="410"/>
      <c r="AO556" s="12"/>
    </row>
    <row r="557" spans="1:41" ht="30" hidden="1" customHeight="1">
      <c r="A557" s="158">
        <f>OBRA!K558</f>
        <v>2021</v>
      </c>
      <c r="B557" s="1731"/>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'ADMININSTRACIÓN DIR - OBRA'!B560</f>
        <v>2018-2021</v>
      </c>
      <c r="AN557" s="410"/>
      <c r="AO557" s="12"/>
    </row>
    <row r="558" spans="1:41" ht="30" hidden="1" customHeight="1">
      <c r="A558" s="158">
        <f>OBRA!K559</f>
        <v>2021</v>
      </c>
      <c r="B558" s="1731"/>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'ADMININSTRACIÓN DIR - OBRA'!B561</f>
        <v>2018-2021</v>
      </c>
      <c r="AN558" s="410"/>
      <c r="AO558" s="12"/>
    </row>
    <row r="559" spans="1:41" ht="30" hidden="1" customHeight="1">
      <c r="A559" s="158">
        <f>OBRA!K560</f>
        <v>2021</v>
      </c>
      <c r="B559" s="1731"/>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'ADMININSTRACIÓN DIR - OBRA'!B562</f>
        <v>2018-2021</v>
      </c>
      <c r="AN559" s="410"/>
      <c r="AO559" s="12"/>
    </row>
    <row r="560" spans="1:41" ht="30" hidden="1" customHeight="1">
      <c r="A560" s="158">
        <f>OBRA!K561</f>
        <v>2021</v>
      </c>
      <c r="B560" s="1731"/>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'ADMININSTRACIÓN DIR - OBRA'!B563</f>
        <v>2018-2021</v>
      </c>
      <c r="AN560" s="410"/>
      <c r="AO560" s="12"/>
    </row>
    <row r="561" spans="1:41" ht="30" hidden="1" customHeight="1">
      <c r="A561" s="158">
        <f>OBRA!K562</f>
        <v>2021</v>
      </c>
      <c r="B561" s="1731"/>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'ADMININSTRACIÓN DIR - OBRA'!B564</f>
        <v>2018-2021</v>
      </c>
      <c r="AN561" s="410"/>
      <c r="AO561" s="12"/>
    </row>
    <row r="562" spans="1:41" ht="30" hidden="1" customHeight="1">
      <c r="A562" s="158">
        <f>OBRA!K563</f>
        <v>2021</v>
      </c>
      <c r="B562" s="1731"/>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'ADMININSTRACIÓN DIR - OBRA'!B565</f>
        <v>2018-2021</v>
      </c>
      <c r="AN562" s="410"/>
      <c r="AO562" s="12"/>
    </row>
    <row r="563" spans="1:41" ht="30" hidden="1" customHeight="1">
      <c r="A563" s="158">
        <f>OBRA!K564</f>
        <v>2021</v>
      </c>
      <c r="B563" s="1731"/>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'ADMININSTRACIÓN DIR - OBRA'!B566</f>
        <v>2018-2021</v>
      </c>
      <c r="AN563" s="410"/>
      <c r="AO563" s="12"/>
    </row>
    <row r="564" spans="1:41" ht="30" hidden="1" customHeight="1">
      <c r="A564" s="158">
        <f>OBRA!K565</f>
        <v>2021</v>
      </c>
      <c r="B564" s="1731"/>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'ADMININSTRACIÓN DIR - OBRA'!B567</f>
        <v>2018-2021</v>
      </c>
      <c r="AN564" s="410"/>
      <c r="AO564" s="12"/>
    </row>
    <row r="565" spans="1:41" ht="198" hidden="1" customHeight="1">
      <c r="A565" s="158">
        <f>OBRA!K566</f>
        <v>2021</v>
      </c>
      <c r="B565" s="1733" t="str">
        <f>W565</f>
        <v>GMJ 002C- OP/2021</v>
      </c>
      <c r="C565" s="1295" t="s">
        <v>3804</v>
      </c>
      <c r="D565" s="1638" t="s">
        <v>5806</v>
      </c>
      <c r="E565" s="148" t="s">
        <v>3814</v>
      </c>
      <c r="F565" s="1366" t="s">
        <v>3812</v>
      </c>
      <c r="G565" s="504" t="s">
        <v>3804</v>
      </c>
      <c r="H565" s="572">
        <f>OBRA!AG566</f>
        <v>44198</v>
      </c>
      <c r="I565" s="504" t="s">
        <v>3804</v>
      </c>
      <c r="J565" s="1341">
        <f>OBRA!AH566</f>
        <v>44200</v>
      </c>
      <c r="K565" s="527" t="s">
        <v>3804</v>
      </c>
      <c r="L565" s="1341">
        <f>OBRA!AI566</f>
        <v>44198</v>
      </c>
      <c r="M565" s="503" t="s">
        <v>3804</v>
      </c>
      <c r="N565" s="572">
        <f>OBRA!AJ566</f>
        <v>44203</v>
      </c>
      <c r="O565" s="1618" t="s">
        <v>4593</v>
      </c>
      <c r="P565" s="550">
        <v>0.5</v>
      </c>
      <c r="Q565" s="503" t="s">
        <v>3804</v>
      </c>
      <c r="R565" s="572">
        <f>OBRA!AK566</f>
        <v>44209</v>
      </c>
      <c r="S565" s="1360" t="s">
        <v>3805</v>
      </c>
      <c r="T565" s="400" t="str">
        <f>OBRA!X566</f>
        <v>CONCRETOS, ASFALTOS Y CIMENTACIONES EDIR, S.A. DE C.V.</v>
      </c>
      <c r="U565" s="55" t="str">
        <f>OBRA!Y566</f>
        <v xml:space="preserve">ING. ENRIQUE ENRÍQUEZ VÁZQUEZ </v>
      </c>
      <c r="V565" s="1483"/>
      <c r="W565" s="33" t="str">
        <f>OBRA!O566</f>
        <v>GMJ 002C- OP/2021</v>
      </c>
      <c r="X565" s="1349" t="s">
        <v>3801</v>
      </c>
      <c r="Y565" s="413" t="str">
        <f>'ADMININSTRACIÓN DIR - OBRA'!Y568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3819</v>
      </c>
      <c r="AI565" s="212" t="s">
        <v>2313</v>
      </c>
      <c r="AJ565" s="1" t="s">
        <v>1427</v>
      </c>
      <c r="AK565" s="1349" t="s">
        <v>3804</v>
      </c>
      <c r="AL565" s="1349" t="s">
        <v>3804</v>
      </c>
      <c r="AM565" s="1267" t="str">
        <f>'ADMININSTRACIÓN DIR - OBRA'!B568</f>
        <v>2018-2021</v>
      </c>
      <c r="AN565" s="410" t="s">
        <v>550</v>
      </c>
      <c r="AO565" s="12"/>
    </row>
    <row r="566" spans="1:41" ht="30" hidden="1" customHeight="1">
      <c r="A566" s="158">
        <f>OBRA!K567</f>
        <v>2021</v>
      </c>
      <c r="B566" s="1731"/>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'ADMININSTRACIÓN DIR - OBRA'!B569</f>
        <v>2018-2021</v>
      </c>
      <c r="AN566" s="410"/>
      <c r="AO566" s="12"/>
    </row>
    <row r="567" spans="1:41" ht="219" hidden="1" customHeight="1">
      <c r="A567" s="158">
        <f>OBRA!K568</f>
        <v>2021</v>
      </c>
      <c r="B567" s="1733" t="str">
        <f>W567</f>
        <v>GMJ 004C- OP/2021</v>
      </c>
      <c r="C567" s="1295" t="s">
        <v>3800</v>
      </c>
      <c r="D567" s="1638" t="s">
        <v>5806</v>
      </c>
      <c r="E567" s="148" t="s">
        <v>3814</v>
      </c>
      <c r="F567" s="1366" t="s">
        <v>3812</v>
      </c>
      <c r="G567" s="504" t="s">
        <v>5808</v>
      </c>
      <c r="H567" s="572">
        <f>OBRA!AG568</f>
        <v>44198</v>
      </c>
      <c r="I567" s="503" t="s">
        <v>3800</v>
      </c>
      <c r="J567" s="573">
        <f>OBRA!AH568</f>
        <v>44200</v>
      </c>
      <c r="K567" s="527" t="s">
        <v>3800</v>
      </c>
      <c r="L567" s="572">
        <f>OBRA!AI568</f>
        <v>44200</v>
      </c>
      <c r="M567" s="1212"/>
      <c r="N567" s="1358" t="str">
        <f>OBRA!AJ568</f>
        <v>FALTA</v>
      </c>
      <c r="O567" s="1209"/>
      <c r="P567" s="1209"/>
      <c r="Q567" s="1211"/>
      <c r="R567" s="1359" t="str">
        <f>OBRA!AK568</f>
        <v>FALTA</v>
      </c>
      <c r="S567" s="1355" t="s">
        <v>3802</v>
      </c>
      <c r="T567" s="400" t="str">
        <f>OBRA!X568</f>
        <v>TERRACERÍAS Y PAVIMENTOS DE LA RIBERA, S.A. DE C.V.</v>
      </c>
      <c r="U567" s="55" t="str">
        <f>OBRA!Y568</f>
        <v xml:space="preserve">ING. ENRIQUE ENRÍQUEZ VÁZQUEZ </v>
      </c>
      <c r="V567" s="1483"/>
      <c r="W567" s="33" t="str">
        <f>OBRA!O568</f>
        <v>GMJ 004C- OP/2021</v>
      </c>
      <c r="X567" s="1349" t="s">
        <v>3801</v>
      </c>
      <c r="Y567" s="413" t="str">
        <f>'ADMININSTRACIÓN DIR - OBRA'!Y570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3819</v>
      </c>
      <c r="AI567" s="212" t="s">
        <v>2313</v>
      </c>
      <c r="AJ567" s="1" t="s">
        <v>1427</v>
      </c>
      <c r="AK567" s="1349" t="s">
        <v>3800</v>
      </c>
      <c r="AL567" s="1349" t="s">
        <v>3800</v>
      </c>
      <c r="AM567" s="1267" t="str">
        <f>'ADMININSTRACIÓN DIR - OBRA'!B570</f>
        <v>2018-2021</v>
      </c>
      <c r="AN567" s="410"/>
      <c r="AO567" s="12"/>
    </row>
    <row r="568" spans="1:41" ht="30" hidden="1" customHeight="1">
      <c r="A568" s="158">
        <f>OBRA!K569</f>
        <v>2021</v>
      </c>
      <c r="B568" s="1731"/>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'ADMININSTRACIÓN DIR - OBRA'!B571</f>
        <v>2018-2021</v>
      </c>
      <c r="AN568" s="410"/>
      <c r="AO568" s="12"/>
    </row>
    <row r="569" spans="1:41" ht="30" hidden="1" customHeight="1">
      <c r="A569" s="158">
        <f>OBRA!K570</f>
        <v>2021</v>
      </c>
      <c r="B569" s="1731"/>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'ADMININSTRACIÓN DIR - OBRA'!B572</f>
        <v>2018-2021</v>
      </c>
      <c r="AN569" s="410"/>
      <c r="AO569" s="12"/>
    </row>
    <row r="570" spans="1:41" ht="30" hidden="1" customHeight="1">
      <c r="A570" s="158">
        <f>OBRA!K571</f>
        <v>2021</v>
      </c>
      <c r="B570" s="1731"/>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'ADMININSTRACIÓN DIR - OBRA'!B573</f>
        <v>2018-2021</v>
      </c>
      <c r="AN570" s="410"/>
      <c r="AO570" s="12"/>
    </row>
    <row r="571" spans="1:41" ht="30" hidden="1" customHeight="1">
      <c r="A571" s="158">
        <f>OBRA!K572</f>
        <v>2021</v>
      </c>
      <c r="B571" s="1731"/>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'ADMININSTRACIÓN DIR - OBRA'!B574</f>
        <v>2018-2021</v>
      </c>
      <c r="AN571" s="410"/>
      <c r="AO571" s="12"/>
    </row>
    <row r="572" spans="1:41" ht="216.75" hidden="1" thickTop="1">
      <c r="A572" s="158">
        <f>OBRA!K573</f>
        <v>2021</v>
      </c>
      <c r="B572" s="1733" t="str">
        <f>W572</f>
        <v>GMJ 009C- OP/2021</v>
      </c>
      <c r="C572" s="1295" t="s">
        <v>4456</v>
      </c>
      <c r="D572" s="1638" t="s">
        <v>5806</v>
      </c>
      <c r="E572" s="148" t="s">
        <v>3814</v>
      </c>
      <c r="F572" s="1366" t="s">
        <v>3812</v>
      </c>
      <c r="G572" s="503" t="s">
        <v>4456</v>
      </c>
      <c r="H572" s="1634">
        <f>OBRA!AG573</f>
        <v>44198</v>
      </c>
      <c r="I572" s="503" t="s">
        <v>4456</v>
      </c>
      <c r="J572" s="179">
        <f>OBRA!AH573</f>
        <v>44200</v>
      </c>
      <c r="K572" s="527" t="s">
        <v>4456</v>
      </c>
      <c r="L572" s="179">
        <f>OBRA!AI573</f>
        <v>44200</v>
      </c>
      <c r="M572" s="527" t="s">
        <v>4456</v>
      </c>
      <c r="N572" s="179">
        <f>OBRA!AJ573</f>
        <v>44203</v>
      </c>
      <c r="O572" s="1618" t="s">
        <v>4593</v>
      </c>
      <c r="P572" s="550">
        <v>0.5</v>
      </c>
      <c r="Q572" s="527" t="s">
        <v>4456</v>
      </c>
      <c r="R572" s="676">
        <f>OBRA!AK573</f>
        <v>44203</v>
      </c>
      <c r="S572" s="1360" t="s">
        <v>4457</v>
      </c>
      <c r="T572" s="400" t="str">
        <f>OBRA!X573</f>
        <v xml:space="preserve">DESARROLLO DAP S.A. DE C.V. </v>
      </c>
      <c r="U572" s="55" t="str">
        <f>OBRA!Y573</f>
        <v>ING. VICTOR MANUEL PACHECO AZCONA</v>
      </c>
      <c r="V572" s="1483"/>
      <c r="W572" s="33" t="str">
        <f>OBRA!O573</f>
        <v>GMJ 009C- OP/2021</v>
      </c>
      <c r="X572" s="1349" t="s">
        <v>3801</v>
      </c>
      <c r="Y572" s="413" t="str">
        <f>'ADMININSTRACIÓN DIR - OBRA'!Y575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3818</v>
      </c>
      <c r="AI572" s="212" t="s">
        <v>2313</v>
      </c>
      <c r="AJ572" s="1" t="s">
        <v>1427</v>
      </c>
      <c r="AK572" s="527" t="s">
        <v>4456</v>
      </c>
      <c r="AL572" s="527" t="s">
        <v>4456</v>
      </c>
      <c r="AM572" s="1267" t="str">
        <f>'ADMININSTRACIÓN DIR - OBRA'!B575</f>
        <v>2018-2021</v>
      </c>
      <c r="AN572" s="410" t="s">
        <v>550</v>
      </c>
      <c r="AO572" s="12"/>
    </row>
    <row r="573" spans="1:41" ht="213.75" hidden="1" customHeight="1">
      <c r="A573" s="158">
        <f>OBRA!K574</f>
        <v>2021</v>
      </c>
      <c r="B573" s="1733" t="str">
        <f>W573</f>
        <v>FOCOCI-OP-CSS-010/2021</v>
      </c>
      <c r="C573" s="1295" t="s">
        <v>3845</v>
      </c>
      <c r="D573" s="1638" t="s">
        <v>5806</v>
      </c>
      <c r="E573" s="148" t="s">
        <v>3814</v>
      </c>
      <c r="F573" s="1366" t="s">
        <v>3812</v>
      </c>
      <c r="G573" s="549" t="s">
        <v>3845</v>
      </c>
      <c r="H573" s="1634">
        <f>OBRA!AG574</f>
        <v>44225</v>
      </c>
      <c r="I573" s="1362"/>
      <c r="J573" s="1357" t="str">
        <f>OBRA!AH574</f>
        <v>FALTA</v>
      </c>
      <c r="K573" s="549" t="s">
        <v>3845</v>
      </c>
      <c r="L573" s="1634">
        <f>OBRA!AI574</f>
        <v>44229</v>
      </c>
      <c r="M573" s="549" t="s">
        <v>3845</v>
      </c>
      <c r="N573" s="1634">
        <f>OBRA!AJ574</f>
        <v>44235</v>
      </c>
      <c r="O573" s="1618" t="s">
        <v>4593</v>
      </c>
      <c r="P573" s="550">
        <v>0.45833333333333331</v>
      </c>
      <c r="Q573" s="549" t="s">
        <v>3845</v>
      </c>
      <c r="R573" s="1635">
        <f>OBRA!AK574</f>
        <v>44237</v>
      </c>
      <c r="S573" s="202" t="s">
        <v>5809</v>
      </c>
      <c r="T573" s="400" t="str">
        <f>OBRA!X574</f>
        <v>ALSERCON SA DE CV</v>
      </c>
      <c r="U573" s="55" t="str">
        <f>OBRA!Y574</f>
        <v>ARQ. JAIME CONDE GOMEZ</v>
      </c>
      <c r="V573" s="1483"/>
      <c r="W573" s="33" t="str">
        <f>OBRA!O574</f>
        <v>FOCOCI-OP-CSS-010/2021</v>
      </c>
      <c r="X573" s="1349" t="s">
        <v>3801</v>
      </c>
      <c r="Y573" s="413" t="str">
        <f>'ADMININSTRACIÓN DIR - OBRA'!Y576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3819</v>
      </c>
      <c r="AI573" s="212" t="s">
        <v>2313</v>
      </c>
      <c r="AJ573" s="496" t="s">
        <v>3845</v>
      </c>
      <c r="AK573" s="496" t="s">
        <v>3845</v>
      </c>
      <c r="AL573" s="697" t="s">
        <v>3845</v>
      </c>
      <c r="AM573" s="1267" t="str">
        <f>'ADMININSTRACIÓN DIR - OBRA'!B576</f>
        <v>2018-2021</v>
      </c>
      <c r="AN573" s="410"/>
      <c r="AO573" s="12"/>
    </row>
    <row r="574" spans="1:41" ht="216.75" hidden="1" thickTop="1">
      <c r="A574" s="158">
        <f>OBRA!K575</f>
        <v>2021</v>
      </c>
      <c r="B574" s="1733" t="str">
        <f>W574</f>
        <v>FOCOCI-OP-CSS-011/2021</v>
      </c>
      <c r="C574" s="1295" t="s">
        <v>4460</v>
      </c>
      <c r="D574" s="1638" t="s">
        <v>5806</v>
      </c>
      <c r="E574" s="148" t="s">
        <v>3814</v>
      </c>
      <c r="F574" s="1366" t="s">
        <v>3812</v>
      </c>
      <c r="G574" s="504" t="s">
        <v>4460</v>
      </c>
      <c r="H574" s="1634">
        <f>OBRA!AG575</f>
        <v>44225</v>
      </c>
      <c r="I574" s="527" t="s">
        <v>4460</v>
      </c>
      <c r="J574" s="676">
        <f>OBRA!AH575</f>
        <v>44229</v>
      </c>
      <c r="K574" s="527" t="s">
        <v>4460</v>
      </c>
      <c r="L574" s="1634">
        <f>OBRA!AI575</f>
        <v>44229</v>
      </c>
      <c r="M574" s="1363"/>
      <c r="N574" s="1358" t="str">
        <f>OBRA!AJ575</f>
        <v>FALTA</v>
      </c>
      <c r="O574" s="1209"/>
      <c r="P574" s="1209"/>
      <c r="Q574" s="527" t="s">
        <v>4460</v>
      </c>
      <c r="R574" s="1635">
        <f>OBRA!AK575</f>
        <v>44235</v>
      </c>
      <c r="S574" s="202" t="s">
        <v>5810</v>
      </c>
      <c r="T574" s="148" t="str">
        <f>OBRA!X575</f>
        <v>COREGO CONSTRUCCIONES, S.A. DE C.V.</v>
      </c>
      <c r="U574" s="55" t="str">
        <f>OBRA!Y575</f>
        <v xml:space="preserve">ING. ENRIQUE ENRÍQUEZ VÁZQUEZ </v>
      </c>
      <c r="V574" s="1483"/>
      <c r="W574" s="33" t="str">
        <f>OBRA!O575</f>
        <v>FOCOCI-OP-CSS-011/2021</v>
      </c>
      <c r="X574" s="1349" t="s">
        <v>3632</v>
      </c>
      <c r="Y574" s="413" t="str">
        <f>'ADMININSTRACIÓN DIR - OBRA'!Y577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3819</v>
      </c>
      <c r="AI574" s="1756" t="s">
        <v>3808</v>
      </c>
      <c r="AJ574" s="496" t="s">
        <v>4460</v>
      </c>
      <c r="AK574" s="496" t="s">
        <v>4460</v>
      </c>
      <c r="AL574" s="697" t="s">
        <v>4460</v>
      </c>
      <c r="AM574" s="1267" t="str">
        <f>'ADMININSTRACIÓN DIR - OBRA'!B577</f>
        <v>2018-2021</v>
      </c>
      <c r="AN574" s="410"/>
      <c r="AO574" s="12"/>
    </row>
    <row r="575" spans="1:41" ht="30" hidden="1" customHeight="1">
      <c r="A575" s="158">
        <f>OBRA!K576</f>
        <v>2021</v>
      </c>
      <c r="B575" s="1731"/>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'ADMININSTRACIÓN DIR - OBRA'!B578</f>
        <v>2018-2021</v>
      </c>
      <c r="AN575" s="410"/>
      <c r="AO575" s="12"/>
    </row>
    <row r="576" spans="1:41" ht="30" hidden="1" customHeight="1">
      <c r="A576" s="158">
        <f>OBRA!K577</f>
        <v>2021</v>
      </c>
      <c r="B576" s="1731"/>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'ADMININSTRACIÓN DIR - OBRA'!B579</f>
        <v>2018-2021</v>
      </c>
      <c r="AN576" s="410"/>
      <c r="AO576" s="12"/>
    </row>
    <row r="577" spans="1:41" ht="30" hidden="1" customHeight="1">
      <c r="A577" s="158">
        <f>OBRA!K578</f>
        <v>2021</v>
      </c>
      <c r="B577" s="1731"/>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'ADMININSTRACIÓN DIR - OBRA'!B580</f>
        <v>2018-2021</v>
      </c>
      <c r="AN577" s="410"/>
      <c r="AO577" s="12"/>
    </row>
    <row r="578" spans="1:41" ht="30" hidden="1" customHeight="1">
      <c r="A578" s="158">
        <f>OBRA!K579</f>
        <v>2021</v>
      </c>
      <c r="B578" s="1731"/>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'ADMININSTRACIÓN DIR - OBRA'!B581</f>
        <v>2018-2021</v>
      </c>
      <c r="AN578" s="410"/>
      <c r="AO578" s="12"/>
    </row>
    <row r="579" spans="1:41" ht="30" hidden="1" customHeight="1">
      <c r="A579" s="158">
        <f>OBRA!K580</f>
        <v>2021</v>
      </c>
      <c r="B579" s="1731"/>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'ADMININSTRACIÓN DIR - OBRA'!B582</f>
        <v>2018-2021</v>
      </c>
      <c r="AN579" s="410"/>
      <c r="AO579" s="12"/>
    </row>
    <row r="580" spans="1:41" ht="30" hidden="1" customHeight="1">
      <c r="A580" s="158">
        <f>OBRA!K581</f>
        <v>2021</v>
      </c>
      <c r="B580" s="1731"/>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'ADMININSTRACIÓN DIR - OBRA'!B583</f>
        <v>2018-2021</v>
      </c>
      <c r="AN580" s="410"/>
      <c r="AO580" s="12"/>
    </row>
    <row r="581" spans="1:41" ht="30" hidden="1" customHeight="1">
      <c r="A581" s="158">
        <f>OBRA!K582</f>
        <v>2021</v>
      </c>
      <c r="B581" s="1731"/>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'ADMININSTRACIÓN DIR - OBRA'!B584</f>
        <v>2018-2021</v>
      </c>
      <c r="AN581" s="410"/>
      <c r="AO581" s="12"/>
    </row>
    <row r="582" spans="1:41" ht="30" hidden="1" customHeight="1">
      <c r="A582" s="158">
        <f>OBRA!K583</f>
        <v>2021</v>
      </c>
      <c r="B582" s="1731"/>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'ADMININSTRACIÓN DIR - OBRA'!B583</f>
        <v>2018-2021</v>
      </c>
      <c r="AN582" s="410"/>
      <c r="AO582" s="12"/>
    </row>
    <row r="583" spans="1:41" ht="30" hidden="1" customHeight="1">
      <c r="A583" s="158">
        <f>OBRA!K585</f>
        <v>2021</v>
      </c>
      <c r="B583" s="1731"/>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'ADMININSTRACIÓN DIR - OBRA'!B585</f>
        <v>2021-2024</v>
      </c>
      <c r="AN583" s="410"/>
      <c r="AO583" s="12"/>
    </row>
    <row r="584" spans="1:41" ht="30" hidden="1" customHeight="1">
      <c r="A584" s="158">
        <f>OBRA!K586</f>
        <v>2021</v>
      </c>
      <c r="B584" s="1731"/>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'ADMININSTRACIÓN DIR - OBRA'!B586</f>
        <v>2021-2024</v>
      </c>
      <c r="AN584" s="410"/>
      <c r="AO584" s="12"/>
    </row>
    <row r="585" spans="1:41" ht="30" hidden="1" customHeight="1">
      <c r="A585" s="158">
        <f>OBRA!K587</f>
        <v>2021</v>
      </c>
      <c r="B585" s="1731"/>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'ADMININSTRACIÓN DIR - OBRA'!B587</f>
        <v>2021-2024</v>
      </c>
      <c r="AN585" s="410"/>
      <c r="AO585" s="12"/>
    </row>
    <row r="586" spans="1:41" ht="30" hidden="1" customHeight="1">
      <c r="A586" s="158">
        <f>OBRA!K588</f>
        <v>2021</v>
      </c>
      <c r="B586" s="1731"/>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'ADMININSTRACIÓN DIR - OBRA'!B588</f>
        <v>2021-2024</v>
      </c>
      <c r="AN586" s="410"/>
      <c r="AO586" s="12"/>
    </row>
    <row r="587" spans="1:41" ht="30" hidden="1" customHeight="1">
      <c r="A587" s="158">
        <f>OBRA!K589</f>
        <v>2021</v>
      </c>
      <c r="B587" s="1731"/>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'ADMININSTRACIÓN DIR - OBRA'!B589</f>
        <v>2021-2024</v>
      </c>
      <c r="AN587" s="410"/>
      <c r="AO587" s="12"/>
    </row>
    <row r="588" spans="1:41" ht="30" hidden="1" customHeight="1">
      <c r="A588" s="158">
        <f>OBRA!K590</f>
        <v>2021</v>
      </c>
      <c r="B588" s="1731"/>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'ADMININSTRACIÓN DIR - OBRA'!B590</f>
        <v>2021-2024</v>
      </c>
      <c r="AN588" s="410"/>
      <c r="AO588" s="12"/>
    </row>
    <row r="589" spans="1:41" ht="30" hidden="1" customHeight="1">
      <c r="A589" s="158">
        <f>OBRA!K591</f>
        <v>2021</v>
      </c>
      <c r="B589" s="1731"/>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'ADMININSTRACIÓN DIR - OBRA'!B591</f>
        <v>2021-2024</v>
      </c>
      <c r="AN589" s="410"/>
      <c r="AO589" s="12"/>
    </row>
    <row r="590" spans="1:41" ht="30" hidden="1" customHeight="1">
      <c r="A590" s="158">
        <f>OBRA!K592</f>
        <v>2021</v>
      </c>
      <c r="B590" s="1731"/>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'ADMININSTRACIÓN DIR - OBRA'!B592</f>
        <v>2021-2024</v>
      </c>
      <c r="AN590" s="410"/>
      <c r="AO590" s="12"/>
    </row>
    <row r="591" spans="1:41" ht="30" hidden="1" customHeight="1">
      <c r="A591" s="158">
        <f>OBRA!K593</f>
        <v>2021</v>
      </c>
      <c r="B591" s="1731"/>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'ADMININSTRACIÓN DIR - OBRA'!B593</f>
        <v>2021-2024</v>
      </c>
      <c r="AN591" s="410"/>
      <c r="AO591" s="12"/>
    </row>
    <row r="592" spans="1:41" ht="30" hidden="1" customHeight="1">
      <c r="A592" s="158">
        <f>OBRA!K594</f>
        <v>2021</v>
      </c>
      <c r="B592" s="1731"/>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'ADMININSTRACIÓN DIR - OBRA'!B594</f>
        <v>2021-2024</v>
      </c>
      <c r="AN592" s="410"/>
      <c r="AO592" s="12"/>
    </row>
    <row r="593" spans="1:41" ht="30" hidden="1" customHeight="1">
      <c r="A593" s="158">
        <f>OBRA!K595</f>
        <v>2021</v>
      </c>
      <c r="B593" s="1731"/>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'ADMININSTRACIÓN DIR - OBRA'!B595</f>
        <v>2021-2024</v>
      </c>
      <c r="AN593" s="410"/>
      <c r="AO593" s="12"/>
    </row>
    <row r="594" spans="1:41" ht="30" hidden="1" customHeight="1" thickTop="1">
      <c r="A594" s="158">
        <f>OBRA!K596</f>
        <v>2022</v>
      </c>
      <c r="B594" s="1731"/>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'ADMININSTRACIÓN DIR - OBRA'!B596</f>
        <v>2021-2024</v>
      </c>
      <c r="AN594" s="410"/>
      <c r="AO594" s="12"/>
    </row>
    <row r="595" spans="1:41" ht="30" hidden="1" customHeight="1">
      <c r="A595" s="158">
        <f>OBRA!K597</f>
        <v>2022</v>
      </c>
      <c r="B595" s="1731"/>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'ADMININSTRACIÓN DIR - OBRA'!B597</f>
        <v>2021-2024</v>
      </c>
      <c r="AN595" s="410"/>
      <c r="AO595" s="12"/>
    </row>
    <row r="596" spans="1:41" ht="30" hidden="1" customHeight="1">
      <c r="A596" s="158">
        <f>OBRA!K598</f>
        <v>2022</v>
      </c>
      <c r="B596" s="1731"/>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'ADMININSTRACIÓN DIR - OBRA'!B598</f>
        <v>2021-2024</v>
      </c>
      <c r="AN596" s="410"/>
      <c r="AO596" s="12"/>
    </row>
    <row r="597" spans="1:41" ht="30" hidden="1" customHeight="1">
      <c r="A597" s="158">
        <f>OBRA!K599</f>
        <v>2022</v>
      </c>
      <c r="B597" s="1731"/>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'ADMININSTRACIÓN DIR - OBRA'!B599</f>
        <v>2021-2024</v>
      </c>
      <c r="AN597" s="410"/>
      <c r="AO597" s="12"/>
    </row>
    <row r="598" spans="1:41" ht="30" hidden="1" customHeight="1">
      <c r="A598" s="158">
        <f>OBRA!K600</f>
        <v>2022</v>
      </c>
      <c r="B598" s="1731"/>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'ADMININSTRACIÓN DIR - OBRA'!B600</f>
        <v>2021-2024</v>
      </c>
      <c r="AN598" s="410"/>
      <c r="AO598" s="12"/>
    </row>
    <row r="599" spans="1:41" ht="30" hidden="1" customHeight="1">
      <c r="A599" s="158">
        <f>OBRA!K601</f>
        <v>2022</v>
      </c>
      <c r="B599" s="1731"/>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'ADMININSTRACIÓN DIR - OBRA'!B601</f>
        <v>2021-2024</v>
      </c>
      <c r="AN599" s="410"/>
      <c r="AO599" s="12"/>
    </row>
    <row r="600" spans="1:41" ht="45.75" hidden="1" thickTop="1">
      <c r="A600" s="158">
        <f>OBRA!K602</f>
        <v>2022</v>
      </c>
      <c r="B600" s="1731"/>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'ADMININSTRACIÓN DIR - OBRA'!B602</f>
        <v>2021-2024</v>
      </c>
      <c r="AN600" s="410"/>
      <c r="AO600" s="12"/>
    </row>
    <row r="601" spans="1:41" ht="30" hidden="1" customHeight="1">
      <c r="A601" s="158">
        <f>OBRA!K603</f>
        <v>2022</v>
      </c>
      <c r="B601" s="1731"/>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'ADMININSTRACIÓN DIR - OBRA'!B603</f>
        <v>2021-2024</v>
      </c>
      <c r="AN601" s="410"/>
      <c r="AO601" s="12"/>
    </row>
    <row r="602" spans="1:41" ht="30" hidden="1" customHeight="1">
      <c r="A602" s="158">
        <f>OBRA!K604</f>
        <v>2022</v>
      </c>
      <c r="B602" s="1731"/>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'ADMININSTRACIÓN DIR - OBRA'!B604</f>
        <v>2021-2024</v>
      </c>
      <c r="AN602" s="410"/>
      <c r="AO602" s="12"/>
    </row>
    <row r="603" spans="1:41" ht="30" hidden="1" customHeight="1">
      <c r="A603" s="158">
        <f>OBRA!K605</f>
        <v>2022</v>
      </c>
      <c r="B603" s="1731"/>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'ADMININSTRACIÓN DIR - OBRA'!B605</f>
        <v>2021-2024</v>
      </c>
      <c r="AN603" s="410"/>
      <c r="AO603" s="12"/>
    </row>
    <row r="604" spans="1:41" ht="30" hidden="1" customHeight="1">
      <c r="A604" s="158">
        <f>OBRA!K606</f>
        <v>2022</v>
      </c>
      <c r="B604" s="1731"/>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'ADMININSTRACIÓN DIR - OBRA'!B606</f>
        <v>2021-2024</v>
      </c>
      <c r="AN604" s="410"/>
      <c r="AO604" s="12"/>
    </row>
    <row r="605" spans="1:41" ht="90.75" hidden="1" thickTop="1">
      <c r="A605" s="158">
        <f>OBRA!K607</f>
        <v>2022</v>
      </c>
      <c r="B605" s="1731"/>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'ADMININSTRACIÓN DIR - OBRA'!B607</f>
        <v>2021-2024</v>
      </c>
      <c r="AN605" s="410"/>
      <c r="AO605" s="12"/>
    </row>
    <row r="606" spans="1:41" ht="30" hidden="1" customHeight="1">
      <c r="A606" s="158">
        <f>OBRA!K608</f>
        <v>2022</v>
      </c>
      <c r="B606" s="1731"/>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'ADMININSTRACIÓN DIR - OBRA'!B608</f>
        <v>2021-2024</v>
      </c>
      <c r="AN606" s="410"/>
      <c r="AO606" s="12"/>
    </row>
    <row r="607" spans="1:41" ht="30" hidden="1" customHeight="1">
      <c r="A607" s="158">
        <f>OBRA!K609</f>
        <v>2022</v>
      </c>
      <c r="B607" s="1731"/>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'ADMININSTRACIÓN DIR - OBRA'!B609</f>
        <v>2021-2024</v>
      </c>
      <c r="AN607" s="410"/>
      <c r="AO607" s="12"/>
    </row>
    <row r="608" spans="1:41" ht="30" hidden="1" customHeight="1">
      <c r="A608" s="158">
        <f>OBRA!K610</f>
        <v>2022</v>
      </c>
      <c r="B608" s="1731"/>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'ADMININSTRACIÓN DIR - OBRA'!B610</f>
        <v>2021-2024</v>
      </c>
      <c r="AN608" s="410"/>
      <c r="AO608" s="12"/>
    </row>
    <row r="609" spans="1:41" ht="30" hidden="1" customHeight="1">
      <c r="A609" s="158">
        <f>OBRA!K611</f>
        <v>2022</v>
      </c>
      <c r="B609" s="1731"/>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'ADMININSTRACIÓN DIR - OBRA'!B611</f>
        <v>2021-2024</v>
      </c>
      <c r="AN609" s="410"/>
      <c r="AO609" s="12"/>
    </row>
    <row r="610" spans="1:41" ht="30" hidden="1" customHeight="1">
      <c r="A610" s="158">
        <f>OBRA!K612</f>
        <v>2022</v>
      </c>
      <c r="B610" s="1731"/>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'ADMININSTRACIÓN DIR - OBRA'!B612</f>
        <v>2021-2024</v>
      </c>
      <c r="AN610" s="410"/>
      <c r="AO610" s="12"/>
    </row>
    <row r="611" spans="1:41" ht="30" hidden="1" customHeight="1">
      <c r="A611" s="158">
        <f>OBRA!K613</f>
        <v>2022</v>
      </c>
      <c r="B611" s="1731"/>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'ADMININSTRACIÓN DIR - OBRA'!B613</f>
        <v>2021-2024</v>
      </c>
      <c r="AN611" s="410"/>
      <c r="AO611" s="12"/>
    </row>
    <row r="612" spans="1:41" ht="30" hidden="1" customHeight="1">
      <c r="A612" s="158">
        <f>OBRA!K614</f>
        <v>2022</v>
      </c>
      <c r="B612" s="1731"/>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'ADMININSTRACIÓN DIR - OBRA'!B614</f>
        <v>2021-2024</v>
      </c>
      <c r="AN612" s="410"/>
      <c r="AO612" s="12"/>
    </row>
    <row r="613" spans="1:41" ht="30" hidden="1" customHeight="1">
      <c r="A613" s="158">
        <f>OBRA!K615</f>
        <v>2022</v>
      </c>
      <c r="B613" s="1731"/>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'ADMININSTRACIÓN DIR - OBRA'!B615</f>
        <v>2021-2024</v>
      </c>
      <c r="AN613" s="410"/>
      <c r="AO613" s="12"/>
    </row>
    <row r="614" spans="1:41" ht="30" hidden="1" customHeight="1">
      <c r="A614" s="158">
        <f>OBRA!K616</f>
        <v>2022</v>
      </c>
      <c r="B614" s="1731"/>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'ADMININSTRACIÓN DIR - OBRA'!B616</f>
        <v>2021-2024</v>
      </c>
      <c r="AN614" s="410"/>
      <c r="AO614" s="12"/>
    </row>
    <row r="615" spans="1:41" ht="30" hidden="1" customHeight="1">
      <c r="A615" s="158">
        <f>OBRA!K617</f>
        <v>2022</v>
      </c>
      <c r="B615" s="1731"/>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'ADMININSTRACIÓN DIR - OBRA'!B617</f>
        <v>2021-2024</v>
      </c>
      <c r="AN615" s="410"/>
      <c r="AO615" s="12"/>
    </row>
    <row r="616" spans="1:41" ht="30" hidden="1" customHeight="1">
      <c r="A616" s="158">
        <f>OBRA!K618</f>
        <v>2022</v>
      </c>
      <c r="B616" s="1731"/>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'ADMININSTRACIÓN DIR - OBRA'!B618</f>
        <v>2021-2024</v>
      </c>
      <c r="AN616" s="410"/>
      <c r="AO616" s="12"/>
    </row>
    <row r="617" spans="1:41" ht="30" hidden="1" customHeight="1">
      <c r="A617" s="158">
        <f>OBRA!K619</f>
        <v>2022</v>
      </c>
      <c r="B617" s="1731"/>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'ADMININSTRACIÓN DIR - OBRA'!B619</f>
        <v>2021-2024</v>
      </c>
      <c r="AN617" s="410"/>
      <c r="AO617" s="12"/>
    </row>
    <row r="618" spans="1:41" ht="30" hidden="1" customHeight="1">
      <c r="A618" s="158">
        <f>OBRA!K620</f>
        <v>2022</v>
      </c>
      <c r="B618" s="1731"/>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'ADMININSTRACIÓN DIR - OBRA'!B620</f>
        <v>2021-2024</v>
      </c>
      <c r="AN618" s="410"/>
      <c r="AO618" s="12"/>
    </row>
    <row r="619" spans="1:41" ht="30" hidden="1" customHeight="1">
      <c r="A619" s="158">
        <f>OBRA!K621</f>
        <v>2022</v>
      </c>
      <c r="B619" s="1731"/>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'ADMININSTRACIÓN DIR - OBRA'!B621</f>
        <v>2021-2024</v>
      </c>
      <c r="AN619" s="410"/>
      <c r="AO619" s="12"/>
    </row>
    <row r="620" spans="1:41" ht="30" hidden="1" customHeight="1">
      <c r="A620" s="158">
        <f>OBRA!K622</f>
        <v>2022</v>
      </c>
      <c r="B620" s="1731"/>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'ADMININSTRACIÓN DIR - OBRA'!B622</f>
        <v>2021-2024</v>
      </c>
      <c r="AN620" s="410"/>
      <c r="AO620" s="12"/>
    </row>
    <row r="621" spans="1:41" ht="30" hidden="1" customHeight="1">
      <c r="A621" s="158">
        <f>OBRA!K623</f>
        <v>2022</v>
      </c>
      <c r="B621" s="1731"/>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'ADMININSTRACIÓN DIR - OBRA'!B623</f>
        <v>2021-2024</v>
      </c>
      <c r="AN621" s="410"/>
      <c r="AO621" s="12"/>
    </row>
    <row r="622" spans="1:41" ht="30" hidden="1" customHeight="1">
      <c r="A622" s="158">
        <f>OBRA!K624</f>
        <v>2022</v>
      </c>
      <c r="B622" s="1731"/>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'ADMININSTRACIÓN DIR - OBRA'!B624</f>
        <v>2021-2024</v>
      </c>
      <c r="AN622" s="410"/>
      <c r="AO622" s="12"/>
    </row>
    <row r="623" spans="1:41" ht="30" hidden="1" customHeight="1">
      <c r="A623" s="158">
        <f>OBRA!K625</f>
        <v>2022</v>
      </c>
      <c r="B623" s="1731"/>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'ADMININSTRACIÓN DIR - OBRA'!B625</f>
        <v>2021-2024</v>
      </c>
      <c r="AN623" s="410"/>
      <c r="AO623" s="12"/>
    </row>
    <row r="624" spans="1:41" ht="30" hidden="1" customHeight="1">
      <c r="A624" s="158">
        <f>OBRA!K626</f>
        <v>2022</v>
      </c>
      <c r="B624" s="1731"/>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'ADMININSTRACIÓN DIR - OBRA'!B626</f>
        <v>2021-2024</v>
      </c>
      <c r="AN624" s="410"/>
      <c r="AO624" s="12"/>
    </row>
    <row r="625" spans="1:41" ht="30" hidden="1" customHeight="1">
      <c r="A625" s="158">
        <f>OBRA!K627</f>
        <v>2022</v>
      </c>
      <c r="B625" s="1731"/>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'ADMININSTRACIÓN DIR - OBRA'!B627</f>
        <v>2021-2024</v>
      </c>
      <c r="AN625" s="410"/>
      <c r="AO625" s="12"/>
    </row>
    <row r="626" spans="1:41" ht="30" hidden="1" customHeight="1">
      <c r="A626" s="158">
        <f>OBRA!K628</f>
        <v>2022</v>
      </c>
      <c r="B626" s="1731"/>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'ADMININSTRACIÓN DIR - OBRA'!B628</f>
        <v>2021-2024</v>
      </c>
      <c r="AN626" s="410"/>
      <c r="AO626" s="12"/>
    </row>
    <row r="627" spans="1:41" ht="30" hidden="1" customHeight="1">
      <c r="A627" s="158">
        <f>OBRA!K629</f>
        <v>2022</v>
      </c>
      <c r="B627" s="1731"/>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'ADMININSTRACIÓN DIR - OBRA'!B629</f>
        <v>2021-2024</v>
      </c>
      <c r="AN627" s="410"/>
      <c r="AO627" s="12"/>
    </row>
    <row r="628" spans="1:41" ht="30" hidden="1" customHeight="1">
      <c r="A628" s="158">
        <f>OBRA!K630</f>
        <v>2022</v>
      </c>
      <c r="B628" s="1731"/>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'ADMININSTRACIÓN DIR - OBRA'!B630</f>
        <v>2021-2024</v>
      </c>
      <c r="AN628" s="410"/>
      <c r="AO628" s="12"/>
    </row>
    <row r="629" spans="1:41" ht="30" hidden="1" customHeight="1">
      <c r="A629" s="158">
        <f>OBRA!K631</f>
        <v>2022</v>
      </c>
      <c r="B629" s="1731"/>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'ADMININSTRACIÓN DIR - OBRA'!B631</f>
        <v>2021-2024</v>
      </c>
      <c r="AN629" s="410"/>
      <c r="AO629" s="12"/>
    </row>
    <row r="630" spans="1:41" ht="30" hidden="1" customHeight="1">
      <c r="A630" s="158">
        <f>OBRA!K632</f>
        <v>2022</v>
      </c>
      <c r="B630" s="1731"/>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'ADMININSTRACIÓN DIR - OBRA'!B632</f>
        <v>2021-2024</v>
      </c>
      <c r="AN630" s="410"/>
      <c r="AO630" s="12"/>
    </row>
    <row r="631" spans="1:41" ht="30" hidden="1" customHeight="1">
      <c r="A631" s="158">
        <f>OBRA!K633</f>
        <v>2022</v>
      </c>
      <c r="B631" s="1731"/>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'ADMININSTRACIÓN DIR - OBRA'!B633</f>
        <v>2021-2024</v>
      </c>
      <c r="AN631" s="410"/>
      <c r="AO631" s="12"/>
    </row>
    <row r="632" spans="1:41" ht="30" hidden="1" customHeight="1">
      <c r="A632" s="158">
        <f>OBRA!K634</f>
        <v>2022</v>
      </c>
      <c r="B632" s="1731"/>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'ADMININSTRACIÓN DIR - OBRA'!B634</f>
        <v>2021-2024</v>
      </c>
      <c r="AN632" s="410"/>
      <c r="AO632" s="12"/>
    </row>
    <row r="633" spans="1:41" ht="30" hidden="1" customHeight="1">
      <c r="A633" s="158">
        <f>OBRA!K635</f>
        <v>2022</v>
      </c>
      <c r="B633" s="1731"/>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'ADMININSTRACIÓN DIR - OBRA'!B635</f>
        <v>2021-2024</v>
      </c>
      <c r="AN633" s="410"/>
      <c r="AO633" s="12"/>
    </row>
    <row r="634" spans="1:41" ht="30" hidden="1" customHeight="1">
      <c r="A634" s="158">
        <f>OBRA!K636</f>
        <v>2022</v>
      </c>
      <c r="B634" s="1731"/>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'ADMININSTRACIÓN DIR - OBRA'!B636</f>
        <v>2021-2024</v>
      </c>
      <c r="AN634" s="410"/>
      <c r="AO634" s="12"/>
    </row>
    <row r="635" spans="1:41" ht="30" hidden="1" customHeight="1">
      <c r="A635" s="158">
        <f>OBRA!K637</f>
        <v>2022</v>
      </c>
      <c r="B635" s="1731"/>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'ADMININSTRACIÓN DIR - OBRA'!B637</f>
        <v>2021-2024</v>
      </c>
      <c r="AN635" s="410"/>
      <c r="AO635" s="12"/>
    </row>
    <row r="636" spans="1:41" ht="30" hidden="1" customHeight="1">
      <c r="A636" s="158">
        <f>OBRA!K638</f>
        <v>2022</v>
      </c>
      <c r="B636" s="1731"/>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'ADMININSTRACIÓN DIR - OBRA'!B638</f>
        <v>2021-2024</v>
      </c>
      <c r="AN636" s="410"/>
      <c r="AO636" s="12"/>
    </row>
    <row r="637" spans="1:41" ht="30" hidden="1" customHeight="1">
      <c r="A637" s="158">
        <f>OBRA!K639</f>
        <v>2022</v>
      </c>
      <c r="B637" s="1731"/>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'ADMININSTRACIÓN DIR - OBRA'!B639</f>
        <v>2021-2024</v>
      </c>
      <c r="AN637" s="410"/>
      <c r="AO637" s="12"/>
    </row>
    <row r="638" spans="1:41" ht="30" hidden="1" customHeight="1">
      <c r="A638" s="158">
        <f>OBRA!K640</f>
        <v>2022</v>
      </c>
      <c r="B638" s="1731"/>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'ADMININSTRACIÓN DIR - OBRA'!B640</f>
        <v>2021-2024</v>
      </c>
      <c r="AN638" s="410"/>
      <c r="AO638" s="12"/>
    </row>
    <row r="639" spans="1:41" ht="30" hidden="1" customHeight="1">
      <c r="A639" s="158">
        <f>OBRA!K641</f>
        <v>2022</v>
      </c>
      <c r="B639" s="1731"/>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'ADMININSTRACIÓN DIR - OBRA'!B641</f>
        <v>2021-2024</v>
      </c>
      <c r="AN639" s="410"/>
      <c r="AO639" s="12"/>
    </row>
    <row r="640" spans="1:41" ht="30" hidden="1" customHeight="1">
      <c r="A640" s="158">
        <f>OBRA!K642</f>
        <v>2022</v>
      </c>
      <c r="B640" s="1731"/>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'ADMININSTRACIÓN DIR - OBRA'!B642</f>
        <v>2021-2024</v>
      </c>
      <c r="AN640" s="410"/>
      <c r="AO640" s="12"/>
    </row>
    <row r="641" spans="1:41" ht="30" hidden="1" customHeight="1">
      <c r="A641" s="158">
        <f>OBRA!K643</f>
        <v>2022</v>
      </c>
      <c r="B641" s="1731"/>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'ADMININSTRACIÓN DIR - OBRA'!B643</f>
        <v>2021-2024</v>
      </c>
      <c r="AN641" s="410"/>
      <c r="AO641" s="12"/>
    </row>
    <row r="642" spans="1:41" ht="30" hidden="1" customHeight="1">
      <c r="A642" s="158">
        <f>OBRA!K644</f>
        <v>2022</v>
      </c>
      <c r="B642" s="1731"/>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'ADMININSTRACIÓN DIR - OBRA'!B644</f>
        <v>2021-2024</v>
      </c>
      <c r="AN642" s="410"/>
      <c r="AO642" s="12"/>
    </row>
    <row r="643" spans="1:41" ht="30" hidden="1" customHeight="1">
      <c r="A643" s="158">
        <f>OBRA!K645</f>
        <v>2022</v>
      </c>
      <c r="B643" s="1731"/>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'ADMININSTRACIÓN DIR - OBRA'!B645</f>
        <v>2021-2024</v>
      </c>
      <c r="AN643" s="410"/>
      <c r="AO643" s="12"/>
    </row>
    <row r="644" spans="1:41" ht="30" hidden="1" customHeight="1">
      <c r="A644" s="158">
        <f>OBRA!K646</f>
        <v>2022</v>
      </c>
      <c r="B644" s="1731"/>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'ADMININSTRACIÓN DIR - OBRA'!B646</f>
        <v>2021-2024</v>
      </c>
      <c r="AN644" s="410"/>
      <c r="AO644" s="12"/>
    </row>
    <row r="645" spans="1:41" ht="30" hidden="1" customHeight="1">
      <c r="A645" s="158">
        <f>OBRA!K647</f>
        <v>2022</v>
      </c>
      <c r="B645" s="1731"/>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'ADMININSTRACIÓN DIR - OBRA'!B647</f>
        <v>2021-2024</v>
      </c>
      <c r="AN645" s="410"/>
      <c r="AO645" s="12"/>
    </row>
    <row r="646" spans="1:41" ht="238.5" customHeight="1" thickTop="1">
      <c r="A646" s="158">
        <f>OBRA!K648</f>
        <v>2022</v>
      </c>
      <c r="B646" s="1733" t="str">
        <f>W646</f>
        <v>FAIS-RAMO/33-OP-CSS-013/2022</v>
      </c>
      <c r="C646" s="412" t="s">
        <v>4587</v>
      </c>
      <c r="D646" s="1638" t="s">
        <v>5806</v>
      </c>
      <c r="E646" s="1644" t="s">
        <v>5807</v>
      </c>
      <c r="F646" s="593" t="s">
        <v>5523</v>
      </c>
      <c r="G646" s="414" t="s">
        <v>4587</v>
      </c>
      <c r="H646" s="405">
        <f>OBRA!AG648</f>
        <v>44796</v>
      </c>
      <c r="I646" s="1265" t="s">
        <v>4587</v>
      </c>
      <c r="J646" s="407">
        <f>OBRA!AH648</f>
        <v>44798</v>
      </c>
      <c r="K646" s="415" t="s">
        <v>4587</v>
      </c>
      <c r="L646" s="405">
        <f>OBRA!AI648</f>
        <v>44799</v>
      </c>
      <c r="M646" s="883" t="s">
        <v>4587</v>
      </c>
      <c r="N646" s="1618">
        <f>OBRA!AJ648</f>
        <v>44804</v>
      </c>
      <c r="O646" s="1618" t="s">
        <v>4593</v>
      </c>
      <c r="P646" s="1620">
        <v>0.41666666666666669</v>
      </c>
      <c r="Q646" s="415" t="s">
        <v>4587</v>
      </c>
      <c r="R646" s="408">
        <f>OBRA!AK648</f>
        <v>44796</v>
      </c>
      <c r="S646" s="1297" t="s">
        <v>4594</v>
      </c>
      <c r="T646" s="400" t="str">
        <f>OBRA!X648</f>
        <v>PIERO MASCORRO OLMOS</v>
      </c>
      <c r="U646" s="409" t="str">
        <f>OBRA!Y648</f>
        <v>C. DANIEL RODRIGUEZ VALENZUELA</v>
      </c>
      <c r="V646" s="1111"/>
      <c r="W646" s="33" t="str">
        <f>OBRA!O648</f>
        <v>FAIS-RAMO/33-OP-CSS-013/2022</v>
      </c>
      <c r="X646" s="502" t="s">
        <v>4566</v>
      </c>
      <c r="Y646" s="1617" t="s">
        <v>4573</v>
      </c>
      <c r="Z646" s="410"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OBRA!S648</f>
        <v>4165845.27</v>
      </c>
      <c r="AE646" s="6">
        <f>OBRA!T648</f>
        <v>44810</v>
      </c>
      <c r="AF646" s="5">
        <f>OBRA!U648</f>
        <v>44812</v>
      </c>
      <c r="AG646" s="11">
        <f>OBRA!V648</f>
        <v>44834</v>
      </c>
      <c r="AH646" s="208" t="s">
        <v>4448</v>
      </c>
      <c r="AI646" s="410"/>
      <c r="AJ646" s="416" t="s">
        <v>4587</v>
      </c>
      <c r="AK646" s="416" t="s">
        <v>4587</v>
      </c>
      <c r="AL646" s="417" t="s">
        <v>4587</v>
      </c>
      <c r="AM646" s="521" t="str">
        <f>'ADMININSTRACIÓN DIR - OBRA'!B648</f>
        <v>2021-2024</v>
      </c>
      <c r="AN646" s="410" t="s">
        <v>550</v>
      </c>
      <c r="AO646" s="12"/>
    </row>
    <row r="647" spans="1:41" ht="163.5" customHeight="1">
      <c r="A647" s="158">
        <f>OBRA!K649</f>
        <v>2022</v>
      </c>
      <c r="B647" s="1733" t="str">
        <f>W647</f>
        <v>FAIS-RAMO/33-OP-CSS-014/2022</v>
      </c>
      <c r="C647" s="412" t="s">
        <v>4590</v>
      </c>
      <c r="D647" s="1638" t="s">
        <v>5806</v>
      </c>
      <c r="E647" s="1644" t="s">
        <v>5807</v>
      </c>
      <c r="F647" s="593" t="s">
        <v>5523</v>
      </c>
      <c r="G647" s="414" t="s">
        <v>4590</v>
      </c>
      <c r="H647" s="405">
        <f>OBRA!AG649</f>
        <v>44830</v>
      </c>
      <c r="I647" s="1265" t="s">
        <v>4590</v>
      </c>
      <c r="J647" s="407">
        <f>OBRA!AH649</f>
        <v>44832</v>
      </c>
      <c r="K647" s="415" t="s">
        <v>4590</v>
      </c>
      <c r="L647" s="405">
        <f>OBRA!AI649</f>
        <v>44832</v>
      </c>
      <c r="M647" s="883" t="s">
        <v>4590</v>
      </c>
      <c r="N647" s="1618">
        <f>OBRA!AJ649</f>
        <v>44837</v>
      </c>
      <c r="O647" s="1618" t="s">
        <v>4593</v>
      </c>
      <c r="P647" s="1620">
        <v>0.41666666666666669</v>
      </c>
      <c r="Q647" s="415" t="s">
        <v>4590</v>
      </c>
      <c r="R647" s="408">
        <f>OBRA!AK649</f>
        <v>44839</v>
      </c>
      <c r="S647" s="1297" t="s">
        <v>4595</v>
      </c>
      <c r="T647" s="400" t="str">
        <f>OBRA!X649</f>
        <v>RAMPER DRILLINGS S.A. DE C.V.</v>
      </c>
      <c r="U647" s="409" t="str">
        <f>OBRA!Y649</f>
        <v>ING. J. GUADALUPE IBARRA RAMIREZ</v>
      </c>
      <c r="V647" s="1111"/>
      <c r="W647" s="33" t="str">
        <f>OBRA!O649</f>
        <v>FAIS-RAMO/33-OP-CSS-014/2022</v>
      </c>
      <c r="X647" s="502" t="s">
        <v>4566</v>
      </c>
      <c r="Y647" s="1617" t="s">
        <v>4574</v>
      </c>
      <c r="Z647" s="410"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4">
        <f>OBRA!S649</f>
        <v>4216204.78</v>
      </c>
      <c r="AE647" s="6">
        <f>OBRA!T649</f>
        <v>44839</v>
      </c>
      <c r="AF647" s="5">
        <f>OBRA!U649</f>
        <v>44847</v>
      </c>
      <c r="AG647" s="11">
        <f>OBRA!V649</f>
        <v>44895</v>
      </c>
      <c r="AH647" s="208" t="s">
        <v>4448</v>
      </c>
      <c r="AI647" s="12"/>
      <c r="AJ647" s="496" t="s">
        <v>4590</v>
      </c>
      <c r="AK647" s="496" t="s">
        <v>4590</v>
      </c>
      <c r="AL647" s="697" t="s">
        <v>4590</v>
      </c>
      <c r="AM647" s="521" t="str">
        <f>'ADMININSTRACIÓN DIR - OBRA'!B649</f>
        <v>2021-2024</v>
      </c>
      <c r="AN647" s="410" t="s">
        <v>550</v>
      </c>
      <c r="AO647" s="12"/>
    </row>
    <row r="648" spans="1:41" ht="160.5" customHeight="1">
      <c r="A648" s="158">
        <f>OBRA!K650</f>
        <v>2022</v>
      </c>
      <c r="B648" s="1733" t="str">
        <f>W648</f>
        <v>PROGRAMA CUENTA CORRIENTE-OP-CSS-015/2022</v>
      </c>
      <c r="C648" s="1295" t="s">
        <v>4590</v>
      </c>
      <c r="D648" s="1638" t="s">
        <v>5806</v>
      </c>
      <c r="E648" s="1644" t="s">
        <v>5807</v>
      </c>
      <c r="F648" s="593" t="s">
        <v>5523</v>
      </c>
      <c r="G648" s="414" t="s">
        <v>4591</v>
      </c>
      <c r="H648" s="572">
        <f>OBRA!AG650</f>
        <v>44830</v>
      </c>
      <c r="I648" s="503" t="s">
        <v>4590</v>
      </c>
      <c r="J648" s="573">
        <f>OBRA!AH650</f>
        <v>44832</v>
      </c>
      <c r="K648" s="527" t="s">
        <v>4590</v>
      </c>
      <c r="L648" s="572">
        <f>OBRA!AI650</f>
        <v>44832</v>
      </c>
      <c r="M648" s="883" t="s">
        <v>4591</v>
      </c>
      <c r="N648" s="1618">
        <f>OBRA!AJ650</f>
        <v>44837</v>
      </c>
      <c r="O648" s="1618" t="s">
        <v>4593</v>
      </c>
      <c r="P648" s="1620">
        <v>0.5</v>
      </c>
      <c r="Q648" s="415" t="s">
        <v>4591</v>
      </c>
      <c r="R648" s="408">
        <f>OBRA!AK650</f>
        <v>44839</v>
      </c>
      <c r="S648" s="1297" t="s">
        <v>4596</v>
      </c>
      <c r="T648" s="400" t="str">
        <f>OBRA!X650</f>
        <v>GRUPO ARANGE, S.A. DE C.V.</v>
      </c>
      <c r="U648" s="409" t="str">
        <f>OBRA!Y650</f>
        <v>ING. J. GUADALUPE IBARRA RAMIREZ</v>
      </c>
      <c r="V648" s="1111"/>
      <c r="W648" s="33" t="str">
        <f>OBRA!O650</f>
        <v>PROGRAMA CUENTA CORRIENTE-OP-CSS-015/2022</v>
      </c>
      <c r="X648" s="502" t="s">
        <v>4566</v>
      </c>
      <c r="Y648" s="1617" t="s">
        <v>4575</v>
      </c>
      <c r="Z648" s="411"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4">
        <f>OBRA!S650</f>
        <v>3845696.93</v>
      </c>
      <c r="AE648" s="6">
        <f>OBRA!T650</f>
        <v>44839</v>
      </c>
      <c r="AF648" s="5">
        <f>OBRA!U650</f>
        <v>44847</v>
      </c>
      <c r="AG648" s="11">
        <f>OBRA!V650</f>
        <v>44895</v>
      </c>
      <c r="AH648" s="208" t="s">
        <v>4448</v>
      </c>
      <c r="AI648" s="12"/>
      <c r="AJ648" s="2" t="s">
        <v>1176</v>
      </c>
      <c r="AK648" s="496" t="s">
        <v>4590</v>
      </c>
      <c r="AL648" s="697" t="s">
        <v>4590</v>
      </c>
      <c r="AM648" s="521" t="str">
        <f>'ADMININSTRACIÓN DIR - OBRA'!B650</f>
        <v>2021-2024</v>
      </c>
      <c r="AN648" s="410" t="s">
        <v>550</v>
      </c>
      <c r="AO648" s="12"/>
    </row>
    <row r="649" spans="1:41" ht="30" hidden="1" customHeight="1">
      <c r="A649" s="158">
        <f>OBRA!K651</f>
        <v>2022</v>
      </c>
      <c r="B649" s="1731"/>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'ADMININSTRACIÓN DIR - OBRA'!B651</f>
        <v>2021-2024</v>
      </c>
      <c r="AN649" s="410"/>
      <c r="AO649" s="12"/>
    </row>
    <row r="650" spans="1:41" ht="216">
      <c r="A650" s="158">
        <f>OBRA!K652</f>
        <v>2022</v>
      </c>
      <c r="B650" s="1733" t="str">
        <f>W650</f>
        <v>FAIS-RAMO/33-OP-CSS-017/2022</v>
      </c>
      <c r="C650" s="412" t="s">
        <v>4592</v>
      </c>
      <c r="D650" s="1638" t="s">
        <v>5806</v>
      </c>
      <c r="E650" s="1644" t="s">
        <v>5807</v>
      </c>
      <c r="F650" s="593" t="s">
        <v>5523</v>
      </c>
      <c r="G650" s="414" t="s">
        <v>4592</v>
      </c>
      <c r="H650" s="405">
        <f>OBRA!AG652</f>
        <v>44848</v>
      </c>
      <c r="I650" s="1265" t="s">
        <v>4592</v>
      </c>
      <c r="J650" s="407">
        <f>OBRA!AH652</f>
        <v>44851</v>
      </c>
      <c r="K650" s="415" t="s">
        <v>4592</v>
      </c>
      <c r="L650" s="405">
        <f>OBRA!AI652</f>
        <v>44851</v>
      </c>
      <c r="M650" s="883" t="s">
        <v>4592</v>
      </c>
      <c r="N650" s="1618">
        <f>OBRA!AJ652</f>
        <v>44855</v>
      </c>
      <c r="O650" s="1618" t="s">
        <v>4593</v>
      </c>
      <c r="P650" s="1620">
        <v>0.5</v>
      </c>
      <c r="Q650" s="415" t="s">
        <v>4592</v>
      </c>
      <c r="R650" s="408">
        <f>OBRA!AK652</f>
        <v>44858</v>
      </c>
      <c r="S650" s="1297" t="s">
        <v>4840</v>
      </c>
      <c r="T650" s="400" t="str">
        <f>OBRA!X652</f>
        <v>C. JOSÉ LUIS RANGEL GÁLVEZ</v>
      </c>
      <c r="U650" s="409" t="str">
        <f>OBRA!Y652</f>
        <v>C. DANIEL RODRIGUEZ VALENZUELA</v>
      </c>
      <c r="V650" s="1111"/>
      <c r="W650" s="33" t="str">
        <f>OBRA!O652</f>
        <v>FAIS-RAMO/33-OP-CSS-017/2022</v>
      </c>
      <c r="X650" s="502" t="s">
        <v>4566</v>
      </c>
      <c r="Y650" s="1226" t="s">
        <v>4576</v>
      </c>
      <c r="Z650" s="410"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4">
        <f>OBRA!S652</f>
        <v>2479806.63</v>
      </c>
      <c r="AE650" s="6">
        <f>OBRA!T652</f>
        <v>44859</v>
      </c>
      <c r="AF650" s="5">
        <f>OBRA!U652</f>
        <v>44862</v>
      </c>
      <c r="AG650" s="11">
        <f>OBRA!V652</f>
        <v>44898</v>
      </c>
      <c r="AH650" s="208" t="s">
        <v>4448</v>
      </c>
      <c r="AI650" s="12"/>
      <c r="AJ650" s="496" t="s">
        <v>4592</v>
      </c>
      <c r="AK650" s="496" t="s">
        <v>4592</v>
      </c>
      <c r="AL650" s="697" t="s">
        <v>4592</v>
      </c>
      <c r="AM650" s="521" t="str">
        <f>'ADMININSTRACIÓN DIR - OBRA'!B652</f>
        <v>2021-2024</v>
      </c>
      <c r="AN650" s="410" t="s">
        <v>550</v>
      </c>
      <c r="AO650" s="12"/>
    </row>
    <row r="651" spans="1:41" ht="204">
      <c r="A651" s="158">
        <f>OBRA!K653</f>
        <v>2022</v>
      </c>
      <c r="B651" s="1733" t="str">
        <f>W651</f>
        <v>FAIS-RAMO/33-OP-CSS-018/2022</v>
      </c>
      <c r="C651" s="412" t="s">
        <v>4589</v>
      </c>
      <c r="D651" s="1638" t="s">
        <v>6476</v>
      </c>
      <c r="E651" s="1644" t="s">
        <v>5807</v>
      </c>
      <c r="F651" s="593" t="s">
        <v>5523</v>
      </c>
      <c r="G651" s="504" t="s">
        <v>4589</v>
      </c>
      <c r="H651" s="572">
        <f>OBRA!AG653</f>
        <v>44848</v>
      </c>
      <c r="I651" s="1265" t="s">
        <v>4589</v>
      </c>
      <c r="J651" s="407">
        <f>OBRA!AH653</f>
        <v>44851</v>
      </c>
      <c r="K651" s="415" t="s">
        <v>4589</v>
      </c>
      <c r="L651" s="405">
        <f>OBRA!AI653</f>
        <v>44851</v>
      </c>
      <c r="M651" s="883" t="s">
        <v>4589</v>
      </c>
      <c r="N651" s="1618">
        <f>OBRA!AJ653</f>
        <v>44855</v>
      </c>
      <c r="O651" s="1618" t="s">
        <v>4593</v>
      </c>
      <c r="P651" s="1620">
        <v>0.41666666666666669</v>
      </c>
      <c r="Q651" s="415" t="s">
        <v>4589</v>
      </c>
      <c r="R651" s="408">
        <f>OBRA!AK653</f>
        <v>44858</v>
      </c>
      <c r="S651" s="1297" t="s">
        <v>4597</v>
      </c>
      <c r="T651" s="400" t="str">
        <f>OBRA!X653</f>
        <v>C. REFUGIO GUTIÉRREZ NIEVES</v>
      </c>
      <c r="U651" s="409" t="str">
        <f>OBRA!Y653</f>
        <v>C. DANIEL RODRIGUEZ VALENZUELA</v>
      </c>
      <c r="V651" s="1111"/>
      <c r="W651" s="33" t="str">
        <f>OBRA!O653</f>
        <v>FAIS-RAMO/33-OP-CSS-018/2022</v>
      </c>
      <c r="X651" s="502" t="s">
        <v>4566</v>
      </c>
      <c r="Y651" s="1226" t="s">
        <v>4577</v>
      </c>
      <c r="Z651" s="410"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OBRA!S653</f>
        <v>2218847.77</v>
      </c>
      <c r="AE651" s="6">
        <f>OBRA!T653</f>
        <v>44859</v>
      </c>
      <c r="AF651" s="5">
        <f>OBRA!U653</f>
        <v>44862</v>
      </c>
      <c r="AG651" s="11">
        <f>OBRA!V653</f>
        <v>44898</v>
      </c>
      <c r="AH651" s="208" t="s">
        <v>4448</v>
      </c>
      <c r="AI651" s="12"/>
      <c r="AJ651" s="496" t="s">
        <v>4589</v>
      </c>
      <c r="AK651" s="496" t="s">
        <v>4589</v>
      </c>
      <c r="AL651" s="697" t="s">
        <v>4589</v>
      </c>
      <c r="AM651" s="521" t="str">
        <f>'ADMININSTRACIÓN DIR - OBRA'!B653</f>
        <v>2021-2024</v>
      </c>
      <c r="AN651" s="410" t="s">
        <v>550</v>
      </c>
      <c r="AO651" s="12"/>
    </row>
    <row r="652" spans="1:41" ht="30" hidden="1" customHeight="1">
      <c r="A652" s="158">
        <f>OBRA!K654</f>
        <v>2022</v>
      </c>
      <c r="B652" s="1731"/>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'ADMININSTRACIÓN DIR - OBRA'!B654</f>
        <v>2021-2024</v>
      </c>
      <c r="AN652" s="410"/>
      <c r="AO652" s="12"/>
    </row>
    <row r="653" spans="1:41" ht="30" hidden="1" customHeight="1">
      <c r="A653" s="158">
        <f>OBRA!K655</f>
        <v>2022</v>
      </c>
      <c r="B653" s="1731"/>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'ADMININSTRACIÓN DIR - OBRA'!B655</f>
        <v>2021-2024</v>
      </c>
      <c r="AN653" s="410"/>
      <c r="AO653" s="12"/>
    </row>
    <row r="654" spans="1:41" ht="30" hidden="1" customHeight="1">
      <c r="A654" s="158">
        <f>OBRA!K656</f>
        <v>2022</v>
      </c>
      <c r="B654" s="1731"/>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'ADMININSTRACIÓN DIR - OBRA'!B656</f>
        <v>2021-2024</v>
      </c>
      <c r="AN654" s="410"/>
      <c r="AO654" s="12"/>
    </row>
    <row r="655" spans="1:41" ht="30" hidden="1" customHeight="1">
      <c r="A655" s="158">
        <f>OBRA!K657</f>
        <v>2022</v>
      </c>
      <c r="B655" s="1731"/>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'ADMININSTRACIÓN DIR - OBRA'!B657</f>
        <v>2021-2024</v>
      </c>
      <c r="AN655" s="410"/>
      <c r="AO655" s="12"/>
    </row>
    <row r="656" spans="1:41" ht="30" hidden="1" customHeight="1">
      <c r="A656" s="158">
        <f>OBRA!K658</f>
        <v>2023</v>
      </c>
      <c r="B656" s="1733"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'ADMININSTRACIÓN DIR - OBRA'!B658</f>
        <v>2021-2024</v>
      </c>
      <c r="AN656" s="410"/>
      <c r="AO656" s="12"/>
    </row>
    <row r="657" spans="1:41" ht="30" hidden="1" customHeight="1">
      <c r="A657" s="158">
        <f>OBRA!K659</f>
        <v>2023</v>
      </c>
      <c r="B657" s="1731"/>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'ADMININSTRACIÓN DIR - OBRA'!B659</f>
        <v>2021-2024</v>
      </c>
      <c r="AN657" s="410"/>
      <c r="AO657" s="12"/>
    </row>
    <row r="658" spans="1:41" ht="30" hidden="1" customHeight="1">
      <c r="A658" s="158">
        <f>OBRA!K660</f>
        <v>2023</v>
      </c>
      <c r="B658" s="1731"/>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'ADMININSTRACIÓN DIR - OBRA'!B660</f>
        <v>2021-2024</v>
      </c>
      <c r="AN658" s="410"/>
      <c r="AO658" s="12"/>
    </row>
    <row r="659" spans="1:41" ht="30" hidden="1" customHeight="1">
      <c r="A659" s="158">
        <f>OBRA!K661</f>
        <v>2023</v>
      </c>
      <c r="B659" s="1731"/>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'ADMININSTRACIÓN DIR - OBRA'!B661</f>
        <v>2021-2024</v>
      </c>
      <c r="AN659" s="410"/>
      <c r="AO659" s="12"/>
    </row>
    <row r="660" spans="1:41" ht="30" hidden="1" customHeight="1">
      <c r="A660" s="158">
        <f>OBRA!K662</f>
        <v>2023</v>
      </c>
      <c r="B660" s="1731"/>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'ADMININSTRACIÓN DIR - OBRA'!B662</f>
        <v>2021-2024</v>
      </c>
      <c r="AN660" s="410"/>
      <c r="AO660" s="12"/>
    </row>
    <row r="661" spans="1:41" ht="30" hidden="1" customHeight="1">
      <c r="A661" s="158">
        <f>OBRA!K663</f>
        <v>2023</v>
      </c>
      <c r="B661" s="1731"/>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'ADMININSTRACIÓN DIR - OBRA'!B663</f>
        <v>2021-2024</v>
      </c>
      <c r="AN661" s="410"/>
      <c r="AO661" s="12"/>
    </row>
    <row r="662" spans="1:41" ht="30" hidden="1" customHeight="1">
      <c r="A662" s="158">
        <f>OBRA!K664</f>
        <v>2023</v>
      </c>
      <c r="B662" s="1731"/>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'ADMININSTRACIÓN DIR - OBRA'!B664</f>
        <v>2021-2024</v>
      </c>
      <c r="AN662" s="410"/>
      <c r="AO662" s="12"/>
    </row>
    <row r="663" spans="1:41" ht="30" hidden="1" customHeight="1">
      <c r="A663" s="158">
        <f>OBRA!K665</f>
        <v>2023</v>
      </c>
      <c r="B663" s="1731"/>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'ADMININSTRACIÓN DIR - OBRA'!B665</f>
        <v>2021-2024</v>
      </c>
      <c r="AN663" s="410"/>
      <c r="AO663" s="12"/>
    </row>
    <row r="664" spans="1:41" ht="30" hidden="1" customHeight="1">
      <c r="A664" s="158">
        <f>OBRA!K666</f>
        <v>2023</v>
      </c>
      <c r="B664" s="1731"/>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'ADMININSTRACIÓN DIR - OBRA'!B666</f>
        <v>2021-2024</v>
      </c>
      <c r="AN664" s="410"/>
      <c r="AO664" s="12"/>
    </row>
    <row r="665" spans="1:41" ht="30" hidden="1" customHeight="1">
      <c r="A665" s="158">
        <f>OBRA!K667</f>
        <v>2023</v>
      </c>
      <c r="B665" s="1731"/>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'ADMININSTRACIÓN DIR - OBRA'!B667</f>
        <v>2021-2024</v>
      </c>
      <c r="AN665" s="410"/>
      <c r="AO665" s="12"/>
    </row>
    <row r="666" spans="1:41" ht="30" hidden="1" customHeight="1">
      <c r="A666" s="158">
        <f>OBRA!K668</f>
        <v>2023</v>
      </c>
      <c r="B666" s="1731"/>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'ADMININSTRACIÓN DIR - OBRA'!B668</f>
        <v>2021-2024</v>
      </c>
      <c r="AN666" s="410"/>
      <c r="AO666" s="12"/>
    </row>
    <row r="667" spans="1:41" ht="30" hidden="1" customHeight="1">
      <c r="A667" s="158">
        <f>OBRA!K669</f>
        <v>2023</v>
      </c>
      <c r="B667" s="1731"/>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'ADMININSTRACIÓN DIR - OBRA'!B669</f>
        <v>2021-2024</v>
      </c>
      <c r="AN667" s="410"/>
      <c r="AO667" s="12"/>
    </row>
    <row r="668" spans="1:41" ht="30" hidden="1" customHeight="1">
      <c r="A668" s="158">
        <f>OBRA!K670</f>
        <v>2023</v>
      </c>
      <c r="B668" s="1731"/>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'ADMININSTRACIÓN DIR - OBRA'!B670</f>
        <v>2021-2024</v>
      </c>
      <c r="AN668" s="410"/>
      <c r="AO668" s="12"/>
    </row>
    <row r="669" spans="1:41" ht="30" hidden="1" customHeight="1">
      <c r="A669" s="158">
        <f>OBRA!K671</f>
        <v>2023</v>
      </c>
      <c r="B669" s="1731"/>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'ADMININSTRACIÓN DIR - OBRA'!B671</f>
        <v>2021-2024</v>
      </c>
      <c r="AN669" s="410"/>
      <c r="AO669" s="12"/>
    </row>
    <row r="670" spans="1:41" ht="30" hidden="1" customHeight="1">
      <c r="A670" s="158">
        <f>OBRA!K672</f>
        <v>2023</v>
      </c>
      <c r="B670" s="1731"/>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'ADMININSTRACIÓN DIR - OBRA'!B672</f>
        <v>2021-2024</v>
      </c>
      <c r="AN670" s="410"/>
      <c r="AO670" s="12"/>
    </row>
    <row r="671" spans="1:41" ht="30" hidden="1" customHeight="1">
      <c r="A671" s="158">
        <f>OBRA!K673</f>
        <v>2023</v>
      </c>
      <c r="B671" s="1731"/>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'ADMININSTRACIÓN DIR - OBRA'!B673</f>
        <v>2021-2024</v>
      </c>
      <c r="AN671" s="410"/>
      <c r="AO671" s="12"/>
    </row>
    <row r="672" spans="1:41" ht="30" hidden="1" customHeight="1">
      <c r="A672" s="158">
        <f>OBRA!K674</f>
        <v>2023</v>
      </c>
      <c r="B672" s="1731"/>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'ADMININSTRACIÓN DIR - OBRA'!B674</f>
        <v>2021-2024</v>
      </c>
      <c r="AN672" s="410"/>
      <c r="AO672" s="12"/>
    </row>
    <row r="673" spans="1:41" ht="30" hidden="1" customHeight="1">
      <c r="A673" s="158">
        <f>OBRA!K675</f>
        <v>2023</v>
      </c>
      <c r="B673" s="1731"/>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'ADMININSTRACIÓN DIR - OBRA'!B675</f>
        <v>2021-2024</v>
      </c>
      <c r="AN673" s="410"/>
      <c r="AO673" s="12"/>
    </row>
    <row r="674" spans="1:41" ht="30" hidden="1" customHeight="1">
      <c r="A674" s="158">
        <f>OBRA!K676</f>
        <v>2023</v>
      </c>
      <c r="B674" s="1731"/>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'ADMININSTRACIÓN DIR - OBRA'!B676</f>
        <v>2021-2024</v>
      </c>
      <c r="AN674" s="410"/>
      <c r="AO674" s="12"/>
    </row>
    <row r="675" spans="1:41" ht="30" hidden="1" customHeight="1">
      <c r="A675" s="158">
        <f>OBRA!K677</f>
        <v>2023</v>
      </c>
      <c r="B675" s="1731"/>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'ADMININSTRACIÓN DIR - OBRA'!B677</f>
        <v>2021-2024</v>
      </c>
      <c r="AN675" s="410"/>
      <c r="AO675" s="12"/>
    </row>
    <row r="676" spans="1:41" ht="30" hidden="1" customHeight="1">
      <c r="A676" s="158">
        <f>OBRA!K678</f>
        <v>2023</v>
      </c>
      <c r="B676" s="1731"/>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'ADMININSTRACIÓN DIR - OBRA'!B678</f>
        <v>2021-2024</v>
      </c>
      <c r="AN676" s="410"/>
      <c r="AO676" s="12"/>
    </row>
    <row r="677" spans="1:41" ht="30" hidden="1" customHeight="1">
      <c r="A677" s="158">
        <f>OBRA!K679</f>
        <v>2023</v>
      </c>
      <c r="B677" s="1731"/>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'ADMININSTRACIÓN DIR - OBRA'!B679</f>
        <v>2021-2024</v>
      </c>
      <c r="AN677" s="410"/>
      <c r="AO677" s="12"/>
    </row>
    <row r="678" spans="1:41" ht="30" hidden="1" customHeight="1">
      <c r="A678" s="158">
        <f>OBRA!K680</f>
        <v>2023</v>
      </c>
      <c r="B678" s="1731"/>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'ADMININSTRACIÓN DIR - OBRA'!B680</f>
        <v>2021-2024</v>
      </c>
      <c r="AN678" s="410"/>
      <c r="AO678" s="12"/>
    </row>
    <row r="679" spans="1:41" ht="30" hidden="1" customHeight="1">
      <c r="A679" s="158">
        <f>OBRA!K681</f>
        <v>2023</v>
      </c>
      <c r="B679" s="1731"/>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'ADMININSTRACIÓN DIR - OBRA'!B681</f>
        <v>2021-2024</v>
      </c>
      <c r="AN679" s="410"/>
      <c r="AO679" s="12"/>
    </row>
    <row r="680" spans="1:41" ht="30" hidden="1" customHeight="1">
      <c r="A680" s="158">
        <f>OBRA!K682</f>
        <v>2023</v>
      </c>
      <c r="B680" s="1731"/>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'ADMININSTRACIÓN DIR - OBRA'!B682</f>
        <v>2021-2024</v>
      </c>
      <c r="AN680" s="410"/>
      <c r="AO680" s="12"/>
    </row>
    <row r="681" spans="1:41" ht="30" hidden="1" customHeight="1">
      <c r="A681" s="158">
        <f>OBRA!K683</f>
        <v>2023</v>
      </c>
      <c r="B681" s="1731"/>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'ADMININSTRACIÓN DIR - OBRA'!B683</f>
        <v>2021-2024</v>
      </c>
      <c r="AN681" s="410"/>
      <c r="AO681" s="12"/>
    </row>
    <row r="682" spans="1:41" ht="30" hidden="1" customHeight="1">
      <c r="A682" s="158">
        <f>OBRA!K684</f>
        <v>2023</v>
      </c>
      <c r="B682" s="1731"/>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'ADMININSTRACIÓN DIR - OBRA'!B684</f>
        <v>2021-2024</v>
      </c>
      <c r="AN682" s="410"/>
      <c r="AO682" s="12"/>
    </row>
    <row r="683" spans="1:41" ht="30" hidden="1" customHeight="1">
      <c r="A683" s="158">
        <f>OBRA!K685</f>
        <v>2023</v>
      </c>
      <c r="B683" s="1731"/>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'ADMININSTRACIÓN DIR - OBRA'!B685</f>
        <v>2021-2024</v>
      </c>
      <c r="AN683" s="410"/>
      <c r="AO683" s="12"/>
    </row>
    <row r="684" spans="1:41" ht="30" hidden="1" customHeight="1">
      <c r="A684" s="158">
        <f>OBRA!K686</f>
        <v>2023</v>
      </c>
      <c r="B684" s="1731"/>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'ADMININSTRACIÓN DIR - OBRA'!B686</f>
        <v>2021-2024</v>
      </c>
      <c r="AN684" s="410"/>
      <c r="AO684" s="12"/>
    </row>
    <row r="685" spans="1:41" ht="30" hidden="1" customHeight="1">
      <c r="A685" s="158">
        <f>OBRA!K687</f>
        <v>2023</v>
      </c>
      <c r="B685" s="1731"/>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'ADMININSTRACIÓN DIR - OBRA'!B687</f>
        <v>2021-2024</v>
      </c>
      <c r="AN685" s="410"/>
      <c r="AO685" s="12"/>
    </row>
    <row r="686" spans="1:41" ht="30" hidden="1" customHeight="1">
      <c r="A686" s="158">
        <f>OBRA!K688</f>
        <v>2023</v>
      </c>
      <c r="B686" s="1731"/>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'ADMININSTRACIÓN DIR - OBRA'!B688</f>
        <v>2021-2024</v>
      </c>
      <c r="AN686" s="410"/>
      <c r="AO686" s="12"/>
    </row>
    <row r="687" spans="1:41" ht="30" hidden="1" customHeight="1">
      <c r="A687" s="158">
        <f>OBRA!K689</f>
        <v>2023</v>
      </c>
      <c r="B687" s="1731"/>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'ADMININSTRACIÓN DIR - OBRA'!B689</f>
        <v>2021-2024</v>
      </c>
      <c r="AN687" s="410"/>
      <c r="AO687" s="12"/>
    </row>
    <row r="688" spans="1:41" ht="30" hidden="1" customHeight="1">
      <c r="A688" s="158">
        <f>OBRA!K690</f>
        <v>2023</v>
      </c>
      <c r="B688" s="1731"/>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'ADMININSTRACIÓN DIR - OBRA'!B690</f>
        <v>2021-2024</v>
      </c>
      <c r="AN688" s="410"/>
      <c r="AO688" s="12"/>
    </row>
    <row r="689" spans="1:41" ht="30" hidden="1" customHeight="1">
      <c r="A689" s="158">
        <f>OBRA!K691</f>
        <v>2023</v>
      </c>
      <c r="B689" s="1731"/>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'ADMININSTRACIÓN DIR - OBRA'!B691</f>
        <v>2021-2024</v>
      </c>
      <c r="AN689" s="410"/>
      <c r="AO689" s="12"/>
    </row>
    <row r="690" spans="1:41" ht="30" hidden="1" customHeight="1">
      <c r="A690" s="158">
        <f>OBRA!K692</f>
        <v>2023</v>
      </c>
      <c r="B690" s="1731"/>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'ADMININSTRACIÓN DIR - OBRA'!B692</f>
        <v>2021-2024</v>
      </c>
      <c r="AN690" s="410"/>
      <c r="AO690" s="12"/>
    </row>
    <row r="691" spans="1:41" ht="30" hidden="1" customHeight="1">
      <c r="A691" s="158">
        <f>OBRA!K693</f>
        <v>2023</v>
      </c>
      <c r="B691" s="1731"/>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'ADMININSTRACIÓN DIR - OBRA'!B693</f>
        <v>2021-2024</v>
      </c>
      <c r="AN691" s="410"/>
      <c r="AO691" s="12"/>
    </row>
    <row r="692" spans="1:41" ht="30" hidden="1" customHeight="1">
      <c r="A692" s="158">
        <f>OBRA!K694</f>
        <v>2023</v>
      </c>
      <c r="B692" s="1731"/>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'ADMININSTRACIÓN DIR - OBRA'!B694</f>
        <v>2021-2024</v>
      </c>
      <c r="AN692" s="410"/>
      <c r="AO692" s="12"/>
    </row>
    <row r="693" spans="1:41" ht="30" hidden="1" customHeight="1">
      <c r="A693" s="158">
        <f>OBRA!K695</f>
        <v>2023</v>
      </c>
      <c r="B693" s="1731"/>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'ADMININSTRACIÓN DIR - OBRA'!B695</f>
        <v>2021-2024</v>
      </c>
      <c r="AN693" s="410"/>
      <c r="AO693" s="12"/>
    </row>
    <row r="694" spans="1:41" ht="30" hidden="1" customHeight="1">
      <c r="A694" s="158">
        <f>OBRA!K696</f>
        <v>2023</v>
      </c>
      <c r="B694" s="1731"/>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'ADMININSTRACIÓN DIR - OBRA'!B696</f>
        <v>2021-2024</v>
      </c>
      <c r="AN694" s="410"/>
      <c r="AO694" s="12"/>
    </row>
    <row r="695" spans="1:41" ht="30" hidden="1" customHeight="1">
      <c r="A695" s="158">
        <f>OBRA!K697</f>
        <v>2023</v>
      </c>
      <c r="B695" s="1731"/>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'ADMININSTRACIÓN DIR - OBRA'!B697</f>
        <v>2021-2024</v>
      </c>
      <c r="AN695" s="410"/>
      <c r="AO695" s="12"/>
    </row>
    <row r="696" spans="1:41" ht="30" hidden="1" customHeight="1">
      <c r="A696" s="158">
        <f>OBRA!K698</f>
        <v>2023</v>
      </c>
      <c r="B696" s="1731"/>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'ADMININSTRACIÓN DIR - OBRA'!B698</f>
        <v>2021-2024</v>
      </c>
      <c r="AN696" s="410"/>
      <c r="AO696" s="12"/>
    </row>
    <row r="697" spans="1:41" ht="30" hidden="1" customHeight="1">
      <c r="A697" s="158">
        <f>OBRA!K699</f>
        <v>2023</v>
      </c>
      <c r="B697" s="1731"/>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'ADMININSTRACIÓN DIR - OBRA'!B699</f>
        <v>2021-2024</v>
      </c>
      <c r="AN697" s="410"/>
      <c r="AO697" s="12"/>
    </row>
    <row r="698" spans="1:41" ht="30" hidden="1" customHeight="1">
      <c r="A698" s="158">
        <f>OBRA!K700</f>
        <v>2023</v>
      </c>
      <c r="B698" s="1731"/>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'ADMININSTRACIÓN DIR - OBRA'!B700</f>
        <v>2021-2024</v>
      </c>
      <c r="AN698" s="410"/>
      <c r="AO698" s="12"/>
    </row>
    <row r="699" spans="1:41" ht="30" hidden="1" customHeight="1">
      <c r="A699" s="158">
        <f>OBRA!K701</f>
        <v>2023</v>
      </c>
      <c r="B699" s="1731"/>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'ADMININSTRACIÓN DIR - OBRA'!B701</f>
        <v>2021-2024</v>
      </c>
      <c r="AN699" s="410"/>
      <c r="AO699" s="12"/>
    </row>
    <row r="700" spans="1:41" ht="30" hidden="1" customHeight="1">
      <c r="A700" s="158">
        <f>OBRA!K702</f>
        <v>2023</v>
      </c>
      <c r="B700" s="1731"/>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'ADMININSTRACIÓN DIR - OBRA'!B702</f>
        <v>2021-2024</v>
      </c>
      <c r="AN700" s="410"/>
      <c r="AO700" s="12"/>
    </row>
    <row r="701" spans="1:41" ht="30" hidden="1" customHeight="1">
      <c r="A701" s="158">
        <f>OBRA!K703</f>
        <v>2023</v>
      </c>
      <c r="B701" s="1731"/>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'ADMININSTRACIÓN DIR - OBRA'!B703</f>
        <v>2021-2024</v>
      </c>
      <c r="AN701" s="410"/>
      <c r="AO701" s="12"/>
    </row>
    <row r="702" spans="1:41" ht="30" hidden="1" customHeight="1">
      <c r="A702" s="158">
        <f>OBRA!K704</f>
        <v>2023</v>
      </c>
      <c r="B702" s="1731"/>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'ADMININSTRACIÓN DIR - OBRA'!B704</f>
        <v>2021-2024</v>
      </c>
      <c r="AN702" s="410"/>
      <c r="AO702" s="12"/>
    </row>
    <row r="703" spans="1:41" ht="30" hidden="1" customHeight="1">
      <c r="A703" s="158">
        <f>OBRA!K705</f>
        <v>2023</v>
      </c>
      <c r="B703" s="1731"/>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'ADMININSTRACIÓN DIR - OBRA'!B705</f>
        <v>2021-2024</v>
      </c>
      <c r="AN703" s="410"/>
      <c r="AO703" s="12"/>
    </row>
    <row r="704" spans="1:41" ht="30" hidden="1" customHeight="1">
      <c r="A704" s="158">
        <f>OBRA!K706</f>
        <v>2023</v>
      </c>
      <c r="B704" s="1731"/>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'ADMININSTRACIÓN DIR - OBRA'!B706</f>
        <v>2021-2024</v>
      </c>
      <c r="AN704" s="410"/>
      <c r="AO704" s="12"/>
    </row>
    <row r="705" spans="1:41" ht="30" hidden="1" customHeight="1">
      <c r="A705" s="158">
        <f>OBRA!K707</f>
        <v>2023</v>
      </c>
      <c r="B705" s="1731"/>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'ADMININSTRACIÓN DIR - OBRA'!B707</f>
        <v>2021-2024</v>
      </c>
      <c r="AN705" s="410"/>
      <c r="AO705" s="12"/>
    </row>
    <row r="706" spans="1:41" ht="30" hidden="1" customHeight="1">
      <c r="A706" s="158">
        <f>OBRA!K708</f>
        <v>2023</v>
      </c>
      <c r="B706" s="1731"/>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'ADMININSTRACIÓN DIR - OBRA'!B708</f>
        <v>2021-2024</v>
      </c>
      <c r="AN706" s="410"/>
      <c r="AO706" s="12"/>
    </row>
    <row r="707" spans="1:41" ht="30" hidden="1" customHeight="1">
      <c r="A707" s="158">
        <f>OBRA!K709</f>
        <v>2023</v>
      </c>
      <c r="B707" s="1731"/>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'ADMININSTRACIÓN DIR - OBRA'!B709</f>
        <v>2021-2024</v>
      </c>
      <c r="AN707" s="410"/>
      <c r="AO707" s="12"/>
    </row>
    <row r="708" spans="1:41" ht="30" hidden="1" customHeight="1">
      <c r="A708" s="158">
        <f>OBRA!K710</f>
        <v>2023</v>
      </c>
      <c r="B708" s="1731"/>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'ADMININSTRACIÓN DIR - OBRA'!B710</f>
        <v>2021-2024</v>
      </c>
      <c r="AN708" s="410"/>
      <c r="AO708" s="12"/>
    </row>
    <row r="709" spans="1:41" ht="30" hidden="1" customHeight="1">
      <c r="A709" s="158">
        <f>OBRA!K711</f>
        <v>2023</v>
      </c>
      <c r="B709" s="1731"/>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'ADMININSTRACIÓN DIR - OBRA'!B711</f>
        <v>2021-2024</v>
      </c>
      <c r="AN709" s="410"/>
      <c r="AO709" s="12"/>
    </row>
    <row r="710" spans="1:41" ht="30" hidden="1" customHeight="1">
      <c r="A710" s="158">
        <f>OBRA!K712</f>
        <v>2023</v>
      </c>
      <c r="B710" s="1731"/>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'ADMININSTRACIÓN DIR - OBRA'!B712</f>
        <v>2021-2024</v>
      </c>
      <c r="AN710" s="410"/>
      <c r="AO710" s="12"/>
    </row>
    <row r="711" spans="1:41" ht="30" hidden="1" customHeight="1">
      <c r="A711" s="158">
        <f>OBRA!K713</f>
        <v>2023</v>
      </c>
      <c r="B711" s="1731"/>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'ADMININSTRACIÓN DIR - OBRA'!B713</f>
        <v>2021-2024</v>
      </c>
      <c r="AN711" s="410"/>
      <c r="AO711" s="12"/>
    </row>
    <row r="712" spans="1:41" ht="30" hidden="1" customHeight="1">
      <c r="A712" s="158">
        <f>OBRA!K714</f>
        <v>2023</v>
      </c>
      <c r="B712" s="1731"/>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'ADMININSTRACIÓN DIR - OBRA'!B714</f>
        <v>2021-2024</v>
      </c>
      <c r="AN712" s="410"/>
      <c r="AO712" s="12"/>
    </row>
    <row r="713" spans="1:41" ht="30" hidden="1" customHeight="1">
      <c r="A713" s="158">
        <f>OBRA!K715</f>
        <v>2023</v>
      </c>
      <c r="B713" s="1731"/>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'ADMININSTRACIÓN DIR - OBRA'!B715</f>
        <v>2021-2024</v>
      </c>
      <c r="AN713" s="410"/>
      <c r="AO713" s="12"/>
    </row>
    <row r="714" spans="1:41" ht="30" hidden="1" customHeight="1">
      <c r="A714" s="158">
        <f>OBRA!K716</f>
        <v>2023</v>
      </c>
      <c r="B714" s="1731"/>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'ADMININSTRACIÓN DIR - OBRA'!B716</f>
        <v>2021-2024</v>
      </c>
      <c r="AN714" s="410"/>
      <c r="AO714" s="12"/>
    </row>
    <row r="715" spans="1:41" ht="30" hidden="1" customHeight="1">
      <c r="A715" s="158">
        <f>OBRA!K717</f>
        <v>2023</v>
      </c>
      <c r="B715" s="1731"/>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'ADMININSTRACIÓN DIR - OBRA'!B717</f>
        <v>2021-2024</v>
      </c>
      <c r="AN715" s="410"/>
      <c r="AO715" s="12"/>
    </row>
    <row r="716" spans="1:41" ht="30" hidden="1" customHeight="1">
      <c r="A716" s="158">
        <f>OBRA!K718</f>
        <v>2023</v>
      </c>
      <c r="B716" s="1731"/>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'ADMININSTRACIÓN DIR - OBRA'!B718</f>
        <v>2021-2024</v>
      </c>
      <c r="AN716" s="410"/>
      <c r="AO716" s="12"/>
    </row>
    <row r="717" spans="1:41" ht="30" hidden="1" customHeight="1">
      <c r="A717" s="158">
        <f>OBRA!K719</f>
        <v>2023</v>
      </c>
      <c r="B717" s="1731"/>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'ADMININSTRACIÓN DIR - OBRA'!B719</f>
        <v>2021-2024</v>
      </c>
      <c r="AN717" s="410"/>
      <c r="AO717" s="12"/>
    </row>
    <row r="718" spans="1:41" ht="30" hidden="1" customHeight="1">
      <c r="A718" s="158">
        <f>OBRA!K720</f>
        <v>2023</v>
      </c>
      <c r="B718" s="1731"/>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'ADMININSTRACIÓN DIR - OBRA'!B720</f>
        <v>2021-2024</v>
      </c>
      <c r="AN718" s="410"/>
      <c r="AO718" s="12"/>
    </row>
    <row r="719" spans="1:41" ht="30" hidden="1" customHeight="1">
      <c r="A719" s="158">
        <f>OBRA!K721</f>
        <v>2023</v>
      </c>
      <c r="B719" s="1731"/>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'ADMININSTRACIÓN DIR - OBRA'!B721</f>
        <v>2021-2024</v>
      </c>
      <c r="AN719" s="410"/>
      <c r="AO719" s="12"/>
    </row>
    <row r="720" spans="1:41" ht="30" hidden="1" customHeight="1">
      <c r="A720" s="158">
        <f>OBRA!K722</f>
        <v>2023</v>
      </c>
      <c r="B720" s="1731"/>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'ADMININSTRACIÓN DIR - OBRA'!B722</f>
        <v>2021-2024</v>
      </c>
      <c r="AN720" s="410"/>
      <c r="AO720" s="12"/>
    </row>
    <row r="721" spans="1:41" ht="30" hidden="1" customHeight="1">
      <c r="A721" s="158">
        <f>OBRA!K723</f>
        <v>2023</v>
      </c>
      <c r="B721" s="1731"/>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'ADMININSTRACIÓN DIR - OBRA'!B723</f>
        <v>2021-2024</v>
      </c>
      <c r="AN721" s="410"/>
      <c r="AO721" s="12"/>
    </row>
    <row r="722" spans="1:41" ht="30" hidden="1" customHeight="1">
      <c r="A722" s="158">
        <f>OBRA!K724</f>
        <v>2023</v>
      </c>
      <c r="B722" s="1731"/>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'ADMININSTRACIÓN DIR - OBRA'!B724</f>
        <v>2021-2024</v>
      </c>
      <c r="AN722" s="410"/>
      <c r="AO722" s="12"/>
    </row>
    <row r="723" spans="1:41" ht="30" hidden="1" customHeight="1">
      <c r="A723" s="158">
        <f>OBRA!K725</f>
        <v>2023</v>
      </c>
      <c r="B723" s="1731"/>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'ADMININSTRACIÓN DIR - OBRA'!B725</f>
        <v>2021-2024</v>
      </c>
      <c r="AN723" s="410"/>
      <c r="AO723" s="12"/>
    </row>
    <row r="724" spans="1:41" ht="30" hidden="1" customHeight="1">
      <c r="A724" s="158">
        <f>OBRA!K726</f>
        <v>2023</v>
      </c>
      <c r="B724" s="1731"/>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'ADMININSTRACIÓN DIR - OBRA'!B726</f>
        <v>2021-2024</v>
      </c>
      <c r="AN724" s="410"/>
      <c r="AO724" s="12"/>
    </row>
    <row r="725" spans="1:41" ht="30" hidden="1" customHeight="1">
      <c r="A725" s="158">
        <f>OBRA!K727</f>
        <v>2023</v>
      </c>
      <c r="B725" s="1731"/>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'ADMININSTRACIÓN DIR - OBRA'!B727</f>
        <v>2021-2024</v>
      </c>
      <c r="AN725" s="410"/>
      <c r="AO725" s="12"/>
    </row>
    <row r="726" spans="1:41" ht="30" hidden="1" customHeight="1">
      <c r="A726" s="158">
        <f>OBRA!K728</f>
        <v>2023</v>
      </c>
      <c r="B726" s="1731"/>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'ADMININSTRACIÓN DIR - OBRA'!B728</f>
        <v>2021-2024</v>
      </c>
      <c r="AN726" s="410"/>
      <c r="AO726" s="12"/>
    </row>
    <row r="727" spans="1:41" ht="30" hidden="1" customHeight="1">
      <c r="A727" s="158">
        <f>OBRA!K729</f>
        <v>2023</v>
      </c>
      <c r="B727" s="1731"/>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23/2022</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'ADMININSTRACIÓN DIR - OBRA'!B729</f>
        <v>2021-2024</v>
      </c>
      <c r="AN727" s="410"/>
      <c r="AO727" s="12"/>
    </row>
    <row r="728" spans="1:41" ht="30" hidden="1" customHeight="1">
      <c r="A728" s="158">
        <f>OBRA!K730</f>
        <v>2023</v>
      </c>
      <c r="B728" s="1733" t="str">
        <f>W728</f>
        <v>DOP/AD/003/2023</v>
      </c>
      <c r="C728" s="412" t="s">
        <v>5521</v>
      </c>
      <c r="D728" s="1638" t="s">
        <v>5806</v>
      </c>
      <c r="E728" s="1644" t="s">
        <v>5807</v>
      </c>
      <c r="F728" s="1644" t="s">
        <v>5804</v>
      </c>
      <c r="G728" s="504" t="s">
        <v>5521</v>
      </c>
      <c r="H728" s="572" t="str">
        <f>OBRA!AG730</f>
        <v>-</v>
      </c>
      <c r="I728" s="503" t="s">
        <v>5521</v>
      </c>
      <c r="J728" s="573" t="str">
        <f>OBRA!AH730</f>
        <v>-</v>
      </c>
      <c r="K728" s="527" t="s">
        <v>5521</v>
      </c>
      <c r="L728" s="572" t="str">
        <f>OBRA!AI730</f>
        <v>-</v>
      </c>
      <c r="M728" s="549" t="s">
        <v>5521</v>
      </c>
      <c r="N728" s="572" t="str">
        <f>OBRA!AJ730</f>
        <v>-</v>
      </c>
      <c r="O728" s="1618" t="s">
        <v>4593</v>
      </c>
      <c r="P728" s="1620">
        <v>0.41666666666666669</v>
      </c>
      <c r="Q728" s="527" t="s">
        <v>5521</v>
      </c>
      <c r="R728" s="206" t="str">
        <f>OBRA!AK730</f>
        <v>-</v>
      </c>
      <c r="S728" s="1355" t="s">
        <v>5522</v>
      </c>
      <c r="T728" s="400" t="str">
        <f>OBRA!X730</f>
        <v>-</v>
      </c>
      <c r="U728" s="409" t="str">
        <f>OBRA!Y730</f>
        <v>C. DANIEL RODRIGUEZ VALENZUELA</v>
      </c>
      <c r="V728" s="1111"/>
      <c r="W728" s="33" t="str">
        <f>OBRA!O730</f>
        <v>DOP/AD/003/2023</v>
      </c>
      <c r="X728" s="1349" t="s">
        <v>5519</v>
      </c>
      <c r="Y728" s="12" t="s">
        <v>5403</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4449</v>
      </c>
      <c r="AI728" s="12" t="s">
        <v>1176</v>
      </c>
      <c r="AJ728" s="496" t="s">
        <v>5521</v>
      </c>
      <c r="AK728" s="496" t="s">
        <v>5521</v>
      </c>
      <c r="AL728" s="697" t="s">
        <v>5521</v>
      </c>
      <c r="AM728" s="521" t="str">
        <f>'ADMININSTRACIÓN DIR - OBRA'!B730</f>
        <v>2021-2024</v>
      </c>
      <c r="AN728" s="410" t="s">
        <v>550</v>
      </c>
      <c r="AO728" s="12"/>
    </row>
    <row r="729" spans="1:41" ht="30" hidden="1" customHeight="1">
      <c r="A729" s="158">
        <f>OBRA!K731</f>
        <v>2023</v>
      </c>
      <c r="B729" s="1731"/>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'ADMININSTRACIÓN DIR - OBRA'!B731</f>
        <v>2021-2024</v>
      </c>
      <c r="AN729" s="410"/>
      <c r="AO729" s="12"/>
    </row>
    <row r="730" spans="1:41" ht="30" hidden="1" customHeight="1">
      <c r="A730" s="158">
        <f>OBRA!K732</f>
        <v>2023</v>
      </c>
      <c r="B730" s="1731"/>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23/2023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'ADMININSTRACIÓN DIR - OBRA'!B732</f>
        <v>2021-2024</v>
      </c>
      <c r="AN730" s="410"/>
      <c r="AO730" s="12"/>
    </row>
    <row r="731" spans="1:41" ht="30" hidden="1" customHeight="1">
      <c r="A731" s="158">
        <f>OBRA!K733</f>
        <v>2023</v>
      </c>
      <c r="B731" s="1731"/>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'ADMININSTRACIÓN DIR - OBRA'!B733</f>
        <v>2021-2024</v>
      </c>
      <c r="AN731" s="410"/>
      <c r="AO731" s="12"/>
    </row>
    <row r="732" spans="1:41" ht="30" hidden="1" customHeight="1">
      <c r="A732" s="158">
        <f>OBRA!K734</f>
        <v>2023</v>
      </c>
      <c r="B732" s="1731"/>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'ADMININSTRACIÓN DIR - OBRA'!B734</f>
        <v>2021-2024</v>
      </c>
      <c r="AN732" s="410"/>
      <c r="AO732" s="12"/>
    </row>
    <row r="733" spans="1:41" ht="30" hidden="1" customHeight="1">
      <c r="A733" s="158">
        <f>OBRA!K735</f>
        <v>2023</v>
      </c>
      <c r="B733" s="1731"/>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'ADMININSTRACIÓN DIR - OBRA'!B735</f>
        <v>2021-2024</v>
      </c>
      <c r="AN733" s="410"/>
      <c r="AO733" s="12"/>
    </row>
    <row r="734" spans="1:41" ht="30" hidden="1" customHeight="1">
      <c r="A734" s="158">
        <f>OBRA!K736</f>
        <v>2023</v>
      </c>
      <c r="B734" s="1731"/>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'ADMININSTRACIÓN DIR - OBRA'!B736</f>
        <v>2021-2024</v>
      </c>
      <c r="AN734" s="410"/>
      <c r="AO734" s="12"/>
    </row>
    <row r="735" spans="1:41" ht="30" hidden="1" customHeight="1">
      <c r="A735" s="158">
        <f>OBRA!K737</f>
        <v>2023</v>
      </c>
      <c r="B735" s="1731"/>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'ADMININSTRACIÓN DIR - OBRA'!B737</f>
        <v>2021-2024</v>
      </c>
      <c r="AN735" s="410"/>
      <c r="AO735" s="12"/>
    </row>
    <row r="736" spans="1:41" ht="30" hidden="1" customHeight="1">
      <c r="A736" s="158">
        <f>OBRA!K738</f>
        <v>2023</v>
      </c>
      <c r="B736" s="1731"/>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'ADMININSTRACIÓN DIR - OBRA'!B738</f>
        <v>2021-2024</v>
      </c>
      <c r="AN736" s="410"/>
      <c r="AO736" s="12"/>
    </row>
    <row r="737" spans="1:41" ht="30" hidden="1" customHeight="1">
      <c r="A737" s="158">
        <f>OBRA!K739</f>
        <v>2023</v>
      </c>
      <c r="B737" s="1731"/>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'ADMININSTRACIÓN DIR - OBRA'!B739</f>
        <v>2021-2024</v>
      </c>
      <c r="AN737" s="410"/>
      <c r="AO737" s="12"/>
    </row>
    <row r="738" spans="1:41" ht="173.25" customHeight="1">
      <c r="A738" s="158">
        <f>OBRA!K740</f>
        <v>2023</v>
      </c>
      <c r="B738" s="1733" t="str">
        <f>W738</f>
        <v>CSS-OP-CC-003/2023</v>
      </c>
      <c r="C738" s="1295" t="s">
        <v>5521</v>
      </c>
      <c r="D738" s="1638" t="s">
        <v>6477</v>
      </c>
      <c r="E738" s="1644" t="s">
        <v>5807</v>
      </c>
      <c r="F738" s="1923" t="s">
        <v>6475</v>
      </c>
      <c r="G738" s="504" t="s">
        <v>5521</v>
      </c>
      <c r="H738" s="572">
        <f>OBRA!AG740</f>
        <v>44967</v>
      </c>
      <c r="I738" s="504" t="s">
        <v>5521</v>
      </c>
      <c r="J738" s="573">
        <f>OBRA!AH740</f>
        <v>44970</v>
      </c>
      <c r="K738" s="414" t="s">
        <v>5521</v>
      </c>
      <c r="L738" s="572">
        <f>OBRA!AI740</f>
        <v>44970</v>
      </c>
      <c r="M738" s="414" t="s">
        <v>5521</v>
      </c>
      <c r="N738" s="572">
        <f>OBRA!AJ740</f>
        <v>44977</v>
      </c>
      <c r="O738" s="1618" t="s">
        <v>6478</v>
      </c>
      <c r="P738" s="1924">
        <v>0.41666666666666669</v>
      </c>
      <c r="Q738" s="414" t="s">
        <v>5521</v>
      </c>
      <c r="R738" s="206">
        <f>OBRA!AK740</f>
        <v>44967</v>
      </c>
      <c r="S738" s="1925" t="s">
        <v>6479</v>
      </c>
      <c r="T738" s="400" t="str">
        <f>OBRA!X740</f>
        <v>TERRACERÍAS Y PAVIMENTOS DE LA RIBERA, S.A. DE C.V.</v>
      </c>
      <c r="U738" s="409" t="str">
        <f>OBRA!Y740</f>
        <v>C. DANIEL RODRIGUEZ VALENZUELA</v>
      </c>
      <c r="V738" s="1111"/>
      <c r="W738" s="33" t="str">
        <f>OBRA!O740</f>
        <v>CSS-OP-CC-003/2023</v>
      </c>
      <c r="X738" s="1349" t="s">
        <v>5519</v>
      </c>
      <c r="Y738" s="1226" t="s">
        <v>6072</v>
      </c>
      <c r="Z738" s="411" t="str">
        <f>OBRA!N740</f>
        <v>CUENTA CORRIENTE</v>
      </c>
      <c r="AA738" s="410"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4">
        <f>OBRA!S740</f>
        <v>4378573.75</v>
      </c>
      <c r="AE738" s="6">
        <f>OBRA!T740</f>
        <v>44981</v>
      </c>
      <c r="AF738" s="5">
        <f>OBRA!U740</f>
        <v>44987</v>
      </c>
      <c r="AG738" s="11">
        <f>OBRA!V740</f>
        <v>45048</v>
      </c>
      <c r="AH738" s="208" t="s">
        <v>4449</v>
      </c>
      <c r="AI738" s="212" t="s">
        <v>1176</v>
      </c>
      <c r="AJ738" s="1" t="s">
        <v>1176</v>
      </c>
      <c r="AK738" s="414" t="s">
        <v>5521</v>
      </c>
      <c r="AL738" s="414" t="s">
        <v>5521</v>
      </c>
      <c r="AM738" s="521" t="str">
        <f>'ADMININSTRACIÓN DIR - OBRA'!B740</f>
        <v>2021-2024</v>
      </c>
      <c r="AN738" s="410" t="s">
        <v>550</v>
      </c>
      <c r="AO738" s="12"/>
    </row>
    <row r="739" spans="1:41" ht="30" hidden="1" customHeight="1">
      <c r="A739" s="158">
        <f>OBRA!K741</f>
        <v>2023</v>
      </c>
      <c r="B739" s="1733"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4449</v>
      </c>
      <c r="AI739" s="256"/>
      <c r="AJ739" s="511"/>
      <c r="AK739" s="511"/>
      <c r="AL739" s="512"/>
      <c r="AM739" s="521" t="str">
        <f>'ADMININSTRACIÓN DIR - OBRA'!B741</f>
        <v>2021-2024</v>
      </c>
      <c r="AN739" s="410"/>
      <c r="AO739" s="12"/>
    </row>
    <row r="740" spans="1:41" ht="30" hidden="1" customHeight="1">
      <c r="A740" s="158">
        <f>OBRA!K742</f>
        <v>2023</v>
      </c>
      <c r="B740" s="1731"/>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'ADMININSTRACIÓN DIR - OBRA'!B742</f>
        <v>2021-2024</v>
      </c>
      <c r="AN740" s="410"/>
      <c r="AO740" s="12"/>
    </row>
    <row r="741" spans="1:41" ht="30" hidden="1" customHeight="1">
      <c r="A741" s="158">
        <f>OBRA!K743</f>
        <v>2023</v>
      </c>
      <c r="B741" s="1733" t="str">
        <f>W741</f>
        <v>GMJ 006C OP/2023</v>
      </c>
      <c r="C741" s="412" t="s">
        <v>5881</v>
      </c>
      <c r="D741" s="163"/>
      <c r="E741" s="1193"/>
      <c r="F741" s="1193"/>
      <c r="G741" s="504" t="s">
        <v>5881</v>
      </c>
      <c r="H741" s="572" t="str">
        <f>OBRA!AG743</f>
        <v>-</v>
      </c>
      <c r="I741" s="504" t="s">
        <v>5881</v>
      </c>
      <c r="J741" s="573" t="str">
        <f>OBRA!AH743</f>
        <v>-</v>
      </c>
      <c r="K741" s="504" t="s">
        <v>5881</v>
      </c>
      <c r="L741" s="572" t="str">
        <f>OBRA!AI743</f>
        <v>-</v>
      </c>
      <c r="M741" s="504" t="s">
        <v>5881</v>
      </c>
      <c r="N741" s="572" t="str">
        <f>OBRA!AJ743</f>
        <v>-</v>
      </c>
      <c r="O741" s="1209"/>
      <c r="P741" s="1209"/>
      <c r="Q741" s="504" t="s">
        <v>5881</v>
      </c>
      <c r="R741" s="206" t="str">
        <f>OBRA!AK743</f>
        <v>-</v>
      </c>
      <c r="S741" s="1355" t="s">
        <v>5909</v>
      </c>
      <c r="T741" s="400" t="str">
        <f>OBRA!X743</f>
        <v>ESTRUCTURAS PLANEADAS DE OCCIDENTE, S.A. DE C.V.</v>
      </c>
      <c r="U741" s="409" t="str">
        <f>OBRA!Y743</f>
        <v>ARQ. JAIME CONDE GOMEZ</v>
      </c>
      <c r="V741" s="1111"/>
      <c r="W741" s="33" t="str">
        <f>OBRA!O743</f>
        <v>GMJ 006C OP/2023</v>
      </c>
      <c r="X741" s="1349" t="s">
        <v>5532</v>
      </c>
      <c r="Y741" s="1226" t="s">
        <v>5880</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5681</v>
      </c>
      <c r="AI741" s="256"/>
      <c r="AJ741" s="511"/>
      <c r="AK741" s="511"/>
      <c r="AL741" s="512"/>
      <c r="AM741" s="521" t="str">
        <f>'ADMININSTRACIÓN DIR - OBRA'!B743</f>
        <v>2021-2024</v>
      </c>
      <c r="AN741" s="410"/>
      <c r="AO741" s="12"/>
    </row>
    <row r="742" spans="1:41" ht="30" hidden="1" customHeight="1">
      <c r="A742" s="158">
        <f>OBRA!K744</f>
        <v>2023</v>
      </c>
      <c r="B742" s="1731"/>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'ADMININSTRACIÓN DIR - OBRA'!B744</f>
        <v>2021-2024</v>
      </c>
      <c r="AN742" s="410"/>
      <c r="AO742" s="12"/>
    </row>
    <row r="743" spans="1:41" ht="30" hidden="1" customHeight="1">
      <c r="A743" s="158">
        <f>OBRA!K745</f>
        <v>2023</v>
      </c>
      <c r="B743" s="1731"/>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'ADMININSTRACIÓN DIR - OBRA'!B745</f>
        <v>2021-2024</v>
      </c>
      <c r="AN743" s="410"/>
      <c r="AO743" s="12"/>
    </row>
    <row r="744" spans="1:41" ht="30" hidden="1" customHeight="1">
      <c r="A744" s="158">
        <f>OBRA!K746</f>
        <v>2023</v>
      </c>
      <c r="B744" s="1731"/>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'ADMININSTRACIÓN DIR - OBRA'!B746</f>
        <v>2021-2024</v>
      </c>
      <c r="AN744" s="410"/>
      <c r="AO744" s="12"/>
    </row>
    <row r="745" spans="1:41" ht="30" hidden="1" customHeight="1">
      <c r="A745" s="158">
        <f>OBRA!K747</f>
        <v>2023</v>
      </c>
      <c r="B745" s="1731"/>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'ADMININSTRACIÓN DIR - OBRA'!B747</f>
        <v>2021-2024</v>
      </c>
      <c r="AN745" s="410"/>
      <c r="AO745" s="12"/>
    </row>
    <row r="746" spans="1:41" ht="30" hidden="1" customHeight="1">
      <c r="A746" s="158">
        <f>OBRA!K748</f>
        <v>2023</v>
      </c>
      <c r="B746" s="1731"/>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'ADMININSTRACIÓN DIR - OBRA'!B748</f>
        <v>2021-2024</v>
      </c>
      <c r="AN746" s="410"/>
      <c r="AO746" s="12"/>
    </row>
    <row r="747" spans="1:41" ht="30" hidden="1" customHeight="1">
      <c r="A747" s="158">
        <f>OBRA!K749</f>
        <v>2023</v>
      </c>
      <c r="B747" s="1731"/>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'ADMININSTRACIÓN DIR - OBRA'!B749</f>
        <v>2021-2024</v>
      </c>
      <c r="AN747" s="410"/>
      <c r="AO747" s="12"/>
    </row>
    <row r="748" spans="1:41" ht="30" hidden="1" customHeight="1">
      <c r="A748" s="158">
        <f>OBRA!K750</f>
        <v>2023</v>
      </c>
      <c r="B748" s="1731"/>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'ADMININSTRACIÓN DIR - OBRA'!B750</f>
        <v>2021-2024</v>
      </c>
      <c r="AN748" s="410"/>
      <c r="AO748" s="12"/>
    </row>
    <row r="749" spans="1:41" ht="30" hidden="1" customHeight="1">
      <c r="A749" s="158">
        <f>OBRA!K751</f>
        <v>2023</v>
      </c>
      <c r="B749" s="1731"/>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'ADMININSTRACIÓN DIR - OBRA'!B751</f>
        <v>2021-2024</v>
      </c>
      <c r="AN749" s="410"/>
      <c r="AO749" s="12"/>
    </row>
    <row r="750" spans="1:41" ht="30" hidden="1" customHeight="1">
      <c r="A750" s="158">
        <f>OBRA!K752</f>
        <v>2023</v>
      </c>
      <c r="B750" s="1731"/>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'ADMININSTRACIÓN DIR - OBRA'!B752</f>
        <v>2021-2024</v>
      </c>
      <c r="AN750" s="410"/>
      <c r="AO750" s="12"/>
    </row>
    <row r="751" spans="1:41" ht="30" hidden="1" customHeight="1">
      <c r="A751" s="158">
        <f>OBRA!K753</f>
        <v>2023</v>
      </c>
      <c r="B751" s="1731"/>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'ADMININSTRACIÓN DIR - OBRA'!B753</f>
        <v>2021-2024</v>
      </c>
      <c r="AN751" s="410"/>
      <c r="AO751" s="12"/>
    </row>
    <row r="752" spans="1:41" ht="180">
      <c r="A752" s="158">
        <f>OBRA!K754</f>
        <v>2023</v>
      </c>
      <c r="B752" s="1733" t="str">
        <f>W752</f>
        <v>CSS-OP-CC-017/2023</v>
      </c>
      <c r="C752" s="1295" t="s">
        <v>6110</v>
      </c>
      <c r="D752" s="1638" t="s">
        <v>6477</v>
      </c>
      <c r="E752" s="1644" t="s">
        <v>5807</v>
      </c>
      <c r="F752" s="1923" t="s">
        <v>6475</v>
      </c>
      <c r="G752" s="504" t="s">
        <v>6110</v>
      </c>
      <c r="H752" s="572">
        <f>OBRA!AG754</f>
        <v>45134</v>
      </c>
      <c r="I752" s="504" t="s">
        <v>6110</v>
      </c>
      <c r="J752" s="573">
        <f>OBRA!AH754</f>
        <v>45139</v>
      </c>
      <c r="K752" s="504" t="s">
        <v>6110</v>
      </c>
      <c r="L752" s="572">
        <f>OBRA!AI754</f>
        <v>45139</v>
      </c>
      <c r="M752" s="504" t="s">
        <v>6110</v>
      </c>
      <c r="N752" s="572">
        <f>OBRA!AJ754</f>
        <v>45142</v>
      </c>
      <c r="O752" s="1618" t="s">
        <v>6478</v>
      </c>
      <c r="P752" s="1924">
        <v>0.41666666666666669</v>
      </c>
      <c r="Q752" s="504" t="s">
        <v>6110</v>
      </c>
      <c r="R752" s="206">
        <f>OBRA!AK754</f>
        <v>45148</v>
      </c>
      <c r="S752" s="1925" t="s">
        <v>6497</v>
      </c>
      <c r="T752" s="400" t="str">
        <f>OBRA!X754</f>
        <v>C. SERGIO CABRERA</v>
      </c>
      <c r="U752" s="409" t="str">
        <f>OBRA!Y754</f>
        <v>C. DANIEL RODRIGUEZ VALENZUELA</v>
      </c>
      <c r="V752" s="1111"/>
      <c r="W752" s="33" t="str">
        <f>OBRA!O754</f>
        <v>CSS-OP-CC-017/2023</v>
      </c>
      <c r="X752" s="1349" t="s">
        <v>5532</v>
      </c>
      <c r="Y752" s="1226" t="s">
        <v>6109</v>
      </c>
      <c r="Z752" s="411" t="str">
        <f>OBRA!N754</f>
        <v>FOCOCI</v>
      </c>
      <c r="AA752" s="410" t="s">
        <v>2442</v>
      </c>
      <c r="AB752" s="2" t="str">
        <f>OBRA!P754</f>
        <v>CONCURSO SIMPLIFICADO SUMARIO</v>
      </c>
      <c r="AC752" s="3" t="str">
        <f>OBRA!Q754</f>
        <v>“PAVIMENTACIÓN CON EMPEDRADO ZAMPEADO, EN CALLE LA PAZ EN LA DELEGACIÓN DE SAN JUAN COSALÁ, MUNICIPIO DE JOCOTEPEC, JALISCO”</v>
      </c>
      <c r="AD752" s="4">
        <f>OBRA!S754</f>
        <v>4998360.84</v>
      </c>
      <c r="AE752" s="6">
        <f>OBRA!T754</f>
        <v>45152</v>
      </c>
      <c r="AF752" s="5">
        <f>OBRA!U754</f>
        <v>45155</v>
      </c>
      <c r="AG752" s="11">
        <f>OBRA!V754</f>
        <v>45274</v>
      </c>
      <c r="AH752" s="208" t="s">
        <v>3819</v>
      </c>
      <c r="AI752" s="212" t="s">
        <v>1176</v>
      </c>
      <c r="AJ752" s="504" t="s">
        <v>6110</v>
      </c>
      <c r="AK752" s="504" t="s">
        <v>6110</v>
      </c>
      <c r="AL752" s="504" t="s">
        <v>6110</v>
      </c>
      <c r="AM752" s="521" t="str">
        <f>'ADMININSTRACIÓN DIR - OBRA'!B754</f>
        <v>2021-2024</v>
      </c>
      <c r="AN752" s="410" t="s">
        <v>550</v>
      </c>
      <c r="AO752" s="12"/>
    </row>
    <row r="753" spans="1:41" ht="180">
      <c r="A753" s="158">
        <f>OBRA!K755</f>
        <v>2023</v>
      </c>
      <c r="B753" s="1733" t="str">
        <f>W753</f>
        <v>CSS-OP-CC-018/2023</v>
      </c>
      <c r="C753" s="1295" t="s">
        <v>6113</v>
      </c>
      <c r="D753" s="1638" t="s">
        <v>6477</v>
      </c>
      <c r="E753" s="1644" t="s">
        <v>5807</v>
      </c>
      <c r="F753" s="1923" t="s">
        <v>6475</v>
      </c>
      <c r="G753" s="504" t="s">
        <v>6113</v>
      </c>
      <c r="H753" s="572">
        <f>OBRA!AG755</f>
        <v>45154</v>
      </c>
      <c r="I753" s="504" t="s">
        <v>6113</v>
      </c>
      <c r="J753" s="573">
        <f>OBRA!AH755</f>
        <v>45156</v>
      </c>
      <c r="K753" s="504" t="s">
        <v>6113</v>
      </c>
      <c r="L753" s="572">
        <f>OBRA!AI755</f>
        <v>45156</v>
      </c>
      <c r="M753" s="504" t="s">
        <v>6113</v>
      </c>
      <c r="N753" s="572">
        <f>OBRA!AJ755</f>
        <v>45162</v>
      </c>
      <c r="O753" s="1618" t="s">
        <v>6478</v>
      </c>
      <c r="P753" s="1924">
        <v>0.41666666666666669</v>
      </c>
      <c r="Q753" s="504" t="s">
        <v>6113</v>
      </c>
      <c r="R753" s="206">
        <f>OBRA!AK755</f>
        <v>45167</v>
      </c>
      <c r="S753" s="1925" t="s">
        <v>6499</v>
      </c>
      <c r="T753" s="400" t="str">
        <f>OBRA!X755</f>
        <v>ALSERCON SA DE CV</v>
      </c>
      <c r="U753" s="409" t="str">
        <f>OBRA!Y755</f>
        <v>C. DANIEL RODRIGUEZ VALENZUELA</v>
      </c>
      <c r="V753" s="1111"/>
      <c r="W753" s="33" t="str">
        <f>OBRA!O755</f>
        <v>CSS-OP-CC-018/2023</v>
      </c>
      <c r="X753" s="1349" t="s">
        <v>5532</v>
      </c>
      <c r="Y753" s="1226" t="s">
        <v>6111</v>
      </c>
      <c r="Z753" s="411" t="str">
        <f>OBRA!N755</f>
        <v>RAMO 33</v>
      </c>
      <c r="AA753" s="410" t="s">
        <v>2442</v>
      </c>
      <c r="AB753" s="2" t="str">
        <f>OBRA!P755</f>
        <v>CONCURSO SIMPLIFICADO SUMARIO</v>
      </c>
      <c r="AC753" s="3" t="str">
        <f>OBRA!Q755</f>
        <v>“CONSTRUCCIÓN DE SUPERFICIE DE RODAMIENTO EN CALLE PLAYAS DE LA LAGUNA”, EN LA LOCALIDAD DE CHANTEPEC, MUNICIPIO DE JOCOTEPEC, JALISCO</v>
      </c>
      <c r="AD753" s="4">
        <f>OBRA!S755</f>
        <v>2808816.17</v>
      </c>
      <c r="AE753" s="6">
        <f>OBRA!T755</f>
        <v>45168</v>
      </c>
      <c r="AF753" s="5">
        <f>OBRA!U755</f>
        <v>45173</v>
      </c>
      <c r="AG753" s="11">
        <f>OBRA!V755</f>
        <v>45237</v>
      </c>
      <c r="AH753" s="208" t="s">
        <v>3819</v>
      </c>
      <c r="AI753" s="212" t="s">
        <v>1176</v>
      </c>
      <c r="AJ753" s="220"/>
      <c r="AK753" s="220"/>
      <c r="AL753" s="623"/>
      <c r="AM753" s="521" t="str">
        <f>'ADMININSTRACIÓN DIR - OBRA'!B755</f>
        <v>2021-2024</v>
      </c>
      <c r="AN753" s="410"/>
      <c r="AO753" s="12"/>
    </row>
    <row r="754" spans="1:41" ht="30" hidden="1" customHeight="1">
      <c r="A754" s="158">
        <f>OBRA!K756</f>
        <v>2023</v>
      </c>
      <c r="B754" s="1733"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'ADMININSTRACIÓN DIR - OBRA'!B756</f>
        <v>2021-2024</v>
      </c>
      <c r="AN754" s="410"/>
      <c r="AO754" s="12"/>
    </row>
    <row r="755" spans="1:41" ht="30" hidden="1" customHeight="1">
      <c r="A755" s="158">
        <f>OBRA!K757</f>
        <v>2023</v>
      </c>
      <c r="B755" s="1731"/>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'ADMININSTRACIÓN DIR - OBRA'!B757</f>
        <v>2021-2024</v>
      </c>
      <c r="AN755" s="410"/>
      <c r="AO755" s="12"/>
    </row>
    <row r="756" spans="1:41" ht="30" hidden="1" customHeight="1">
      <c r="A756" s="158">
        <f>OBRA!K758</f>
        <v>2023</v>
      </c>
      <c r="B756" s="1731"/>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'ADMININSTRACIÓN DIR - OBRA'!B758</f>
        <v>2021-2024</v>
      </c>
      <c r="AN756" s="410"/>
      <c r="AO756" s="12"/>
    </row>
    <row r="757" spans="1:41" ht="30" hidden="1" customHeight="1">
      <c r="A757" s="158">
        <f>OBRA!K759</f>
        <v>2023</v>
      </c>
      <c r="B757" s="1731"/>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'ADMININSTRACIÓN DIR - OBRA'!B759</f>
        <v>2021-2024</v>
      </c>
      <c r="AN757" s="410"/>
      <c r="AO757" s="12"/>
    </row>
    <row r="758" spans="1:41" ht="30" hidden="1" customHeight="1">
      <c r="A758" s="158">
        <f>OBRA!K760</f>
        <v>2023</v>
      </c>
      <c r="B758" s="1731"/>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'ADMININSTRACIÓN DIR - OBRA'!B760</f>
        <v>2021-2024</v>
      </c>
      <c r="AN758" s="410"/>
      <c r="AO758" s="12"/>
    </row>
    <row r="759" spans="1:41" ht="180">
      <c r="A759" s="158">
        <f>OBRA!K761</f>
        <v>2023</v>
      </c>
      <c r="B759" s="1733" t="str">
        <f>W759</f>
        <v>CSS-OP-CC-024/2023</v>
      </c>
      <c r="C759" s="1295" t="s">
        <v>5803</v>
      </c>
      <c r="D759" s="1638" t="s">
        <v>6477</v>
      </c>
      <c r="E759" s="1644" t="s">
        <v>5807</v>
      </c>
      <c r="F759" s="1923" t="s">
        <v>6475</v>
      </c>
      <c r="G759" s="504" t="s">
        <v>5803</v>
      </c>
      <c r="H759" s="572">
        <f>OBRA!AG761</f>
        <v>45231</v>
      </c>
      <c r="I759" s="504" t="s">
        <v>5803</v>
      </c>
      <c r="J759" s="573">
        <f>OBRA!AH761</f>
        <v>45233</v>
      </c>
      <c r="K759" s="414" t="s">
        <v>5803</v>
      </c>
      <c r="L759" s="572">
        <f>OBRA!AI761</f>
        <v>45233</v>
      </c>
      <c r="M759" s="414" t="s">
        <v>5803</v>
      </c>
      <c r="N759" s="572">
        <f>OBRA!AJ761</f>
        <v>45240</v>
      </c>
      <c r="O759" s="1618" t="s">
        <v>6478</v>
      </c>
      <c r="P759" s="1924">
        <v>0.41666666666666669</v>
      </c>
      <c r="Q759" s="414" t="s">
        <v>5803</v>
      </c>
      <c r="R759" s="206">
        <f>OBRA!AK761</f>
        <v>45244</v>
      </c>
      <c r="S759" s="1925" t="s">
        <v>6508</v>
      </c>
      <c r="T759" s="400" t="str">
        <f>OBRA!X761</f>
        <v>OCTAVA CUATRO VISITAS, S.A. DE C.V.</v>
      </c>
      <c r="U759" s="409" t="str">
        <f>OBRA!Y761</f>
        <v>ING. J. GUADALUPE IBARRA RAMIREZ</v>
      </c>
      <c r="V759" s="1111"/>
      <c r="W759" s="33" t="str">
        <f>OBRA!O761</f>
        <v>CSS-OP-CC-024/2023</v>
      </c>
      <c r="X759" s="1349" t="s">
        <v>6043</v>
      </c>
      <c r="Y759" s="1226" t="s">
        <v>6125</v>
      </c>
      <c r="Z759" s="411" t="str">
        <f>OBRA!N761</f>
        <v>CUENTA CORRIENTE</v>
      </c>
      <c r="AA759" s="410" t="s">
        <v>2323</v>
      </c>
      <c r="AB759" s="2" t="str">
        <f>OBRA!P761</f>
        <v>CONCURSO SIMPLIFICADO SUMARIO</v>
      </c>
      <c r="AC759" s="3" t="str">
        <f>OBRA!Q761</f>
        <v>"CONSTRUCCIÓN DE 29 LOCALES COMERCIALES EN PLAZOLETA", EN LA LOCALIDAD DE CHANTEPEC, MUNICIPIO DE JOCOTEPEC, JALISCO.</v>
      </c>
      <c r="AD759" s="4">
        <f>OBRA!S761</f>
        <v>5281923.58</v>
      </c>
      <c r="AE759" s="6">
        <f>OBRA!T761</f>
        <v>45245</v>
      </c>
      <c r="AF759" s="5">
        <f>OBRA!U761</f>
        <v>45251</v>
      </c>
      <c r="AG759" s="11">
        <f>OBRA!V761</f>
        <v>45370</v>
      </c>
      <c r="AH759" s="208" t="s">
        <v>4449</v>
      </c>
      <c r="AI759" s="212" t="s">
        <v>1176</v>
      </c>
      <c r="AJ759" s="1" t="s">
        <v>1176</v>
      </c>
      <c r="AK759" s="496" t="s">
        <v>5803</v>
      </c>
      <c r="AL759" s="697" t="s">
        <v>5803</v>
      </c>
      <c r="AM759" s="521" t="str">
        <f>'ADMININSTRACIÓN DIR - OBRA'!B761</f>
        <v>2021-2024</v>
      </c>
      <c r="AN759" s="410"/>
      <c r="AO759" s="12"/>
    </row>
    <row r="760" spans="1:41" ht="30" hidden="1" customHeight="1">
      <c r="A760" s="158">
        <f>OBRA!K762</f>
        <v>2023</v>
      </c>
      <c r="B760" s="1733" t="str">
        <f>W760</f>
        <v>GMJ 025C OP/2023</v>
      </c>
      <c r="C760" s="412" t="s">
        <v>5803</v>
      </c>
      <c r="D760" s="1638" t="s">
        <v>5806</v>
      </c>
      <c r="E760" s="1644" t="s">
        <v>5807</v>
      </c>
      <c r="F760" s="1644" t="s">
        <v>5804</v>
      </c>
      <c r="G760" s="504" t="s">
        <v>5803</v>
      </c>
      <c r="H760" s="1209" t="str">
        <f>OBRA!AG762</f>
        <v>-</v>
      </c>
      <c r="I760" s="504" t="s">
        <v>5803</v>
      </c>
      <c r="J760" s="1390" t="str">
        <f>OBRA!AH762</f>
        <v>-</v>
      </c>
      <c r="K760" s="504" t="s">
        <v>5803</v>
      </c>
      <c r="L760" s="1209" t="str">
        <f>OBRA!AI762</f>
        <v>-</v>
      </c>
      <c r="M760" s="504" t="s">
        <v>5803</v>
      </c>
      <c r="N760" s="1209" t="str">
        <f>OBRA!AJ762</f>
        <v>-</v>
      </c>
      <c r="O760" s="1618" t="s">
        <v>4593</v>
      </c>
      <c r="P760" s="550">
        <v>0.41666666666666669</v>
      </c>
      <c r="Q760" s="504" t="s">
        <v>5803</v>
      </c>
      <c r="R760" s="438" t="str">
        <f>OBRA!AK762</f>
        <v>-</v>
      </c>
      <c r="S760" s="1355" t="s">
        <v>5878</v>
      </c>
      <c r="T760" s="400" t="str">
        <f>OBRA!X762</f>
        <v xml:space="preserve">DORIA &amp; SAMPIER CONSTRUCTORA, S.A. DE C.V. </v>
      </c>
      <c r="U760" s="409" t="str">
        <f>OBRA!Y762</f>
        <v>ARQ. JAIME CONDE GOMEZ</v>
      </c>
      <c r="V760" s="1111"/>
      <c r="W760" s="33" t="str">
        <f>OBRA!O762</f>
        <v>GMJ 025C OP/2023</v>
      </c>
      <c r="X760" s="1349" t="s">
        <v>5532</v>
      </c>
      <c r="Y760" s="1226" t="s">
        <v>5800</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4449</v>
      </c>
      <c r="AI760" s="161"/>
      <c r="AJ760" s="220"/>
      <c r="AK760" s="220"/>
      <c r="AL760" s="623"/>
      <c r="AM760" s="521" t="str">
        <f>'ADMININSTRACIÓN DIR - OBRA'!B762</f>
        <v>2021-2024</v>
      </c>
      <c r="AN760" s="410"/>
      <c r="AO760" s="12"/>
    </row>
    <row r="761" spans="1:41" ht="180">
      <c r="A761" s="158">
        <f>OBRA!K763</f>
        <v>2023</v>
      </c>
      <c r="B761" s="1733" t="str">
        <f>W761</f>
        <v>FAIS-RAMO33/CC-OP-CSS-026/2023</v>
      </c>
      <c r="C761" s="1295" t="s">
        <v>5881</v>
      </c>
      <c r="D761" s="1638" t="s">
        <v>6477</v>
      </c>
      <c r="E761" s="1644" t="s">
        <v>5807</v>
      </c>
      <c r="F761" s="1923" t="s">
        <v>6475</v>
      </c>
      <c r="G761" s="504" t="s">
        <v>5881</v>
      </c>
      <c r="H761" s="572">
        <f>OBRA!AG763</f>
        <v>45254</v>
      </c>
      <c r="I761" s="504" t="s">
        <v>5881</v>
      </c>
      <c r="J761" s="573">
        <f>OBRA!AH763</f>
        <v>45257</v>
      </c>
      <c r="K761" s="504" t="s">
        <v>5881</v>
      </c>
      <c r="L761" s="572">
        <f>OBRA!AI763</f>
        <v>45257</v>
      </c>
      <c r="M761" s="504" t="s">
        <v>5881</v>
      </c>
      <c r="N761" s="572">
        <f>OBRA!AJ763</f>
        <v>45264</v>
      </c>
      <c r="O761" s="1618" t="s">
        <v>6478</v>
      </c>
      <c r="P761" s="1924">
        <v>0.41666666666666669</v>
      </c>
      <c r="Q761" s="504" t="s">
        <v>5881</v>
      </c>
      <c r="R761" s="206">
        <f>OBRA!AK763</f>
        <v>45267</v>
      </c>
      <c r="S761" s="1925" t="s">
        <v>6511</v>
      </c>
      <c r="T761" s="400" t="str">
        <f>OBRA!X763</f>
        <v>EDIFICACIONES Y TERRACERIAS CH, S.A. DE C.V.</v>
      </c>
      <c r="U761" s="409" t="str">
        <f>OBRA!Y763</f>
        <v>C. DANIEL RODRIGUEZ VALENZUELA</v>
      </c>
      <c r="V761" s="1111"/>
      <c r="W761" s="33" t="str">
        <f>OBRA!O763</f>
        <v>FAIS-RAMO33/CC-OP-CSS-026/2023</v>
      </c>
      <c r="X761" s="1349" t="s">
        <v>6043</v>
      </c>
      <c r="Y761" s="1226" t="s">
        <v>5880</v>
      </c>
      <c r="Z761" s="411" t="str">
        <f>OBRA!N763</f>
        <v>CTA-CTE / RAMO 33</v>
      </c>
      <c r="AA761" s="410"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4">
        <f>OBRA!S763</f>
        <v>2969939.23</v>
      </c>
      <c r="AE761" s="6">
        <f>OBRA!T763</f>
        <v>45268</v>
      </c>
      <c r="AF761" s="5">
        <f>OBRA!U763</f>
        <v>45271</v>
      </c>
      <c r="AG761" s="11">
        <f>OBRA!V763</f>
        <v>45290</v>
      </c>
      <c r="AH761" s="208" t="s">
        <v>3819</v>
      </c>
      <c r="AI761" s="212" t="s">
        <v>1176</v>
      </c>
      <c r="AJ761" s="220"/>
      <c r="AK761" s="504" t="s">
        <v>5881</v>
      </c>
      <c r="AL761" s="504" t="s">
        <v>5881</v>
      </c>
      <c r="AM761" s="521" t="str">
        <f>'ADMININSTRACIÓN DIR - OBRA'!B763</f>
        <v>2021-2024</v>
      </c>
      <c r="AN761" s="410"/>
      <c r="AO761" s="12"/>
    </row>
    <row r="762" spans="1:41" ht="30" hidden="1" customHeight="1">
      <c r="A762" s="158">
        <f>OBRA!K764</f>
        <v>2023</v>
      </c>
      <c r="B762" s="1731"/>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'ADMININSTRACIÓN DIR - OBRA'!B764</f>
        <v>2021-2024</v>
      </c>
      <c r="AN762" s="410"/>
      <c r="AO762" s="12"/>
    </row>
    <row r="763" spans="1:41" ht="30" hidden="1" customHeight="1">
      <c r="A763" s="158">
        <f>OBRA!K765</f>
        <v>2023</v>
      </c>
      <c r="B763" s="1731"/>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'ADMININSTRACIÓN DIR - OBRA'!B765</f>
        <v>2021-2024</v>
      </c>
      <c r="AN763" s="410"/>
      <c r="AO763" s="12"/>
    </row>
    <row r="764" spans="1:41" ht="30" hidden="1" customHeight="1">
      <c r="A764" s="158">
        <f>OBRA!K766</f>
        <v>2023</v>
      </c>
      <c r="B764" s="1731"/>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'ADMININSTRACIÓN DIR - OBRA'!B766</f>
        <v>2021-2024</v>
      </c>
      <c r="AN764" s="410"/>
      <c r="AO764" s="12"/>
    </row>
    <row r="765" spans="1:41" ht="30" hidden="1" customHeight="1">
      <c r="A765" s="158">
        <f>OBRA!K767</f>
        <v>2023</v>
      </c>
      <c r="B765" s="1731"/>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'ADMININSTRACIÓN DIR - OBRA'!B767</f>
        <v>2021-2024</v>
      </c>
      <c r="AN765" s="410"/>
      <c r="AO765" s="12"/>
    </row>
    <row r="766" spans="1:41" ht="30" hidden="1" customHeight="1">
      <c r="A766" s="158">
        <f>OBRA!K768</f>
        <v>2023</v>
      </c>
      <c r="B766" s="1731"/>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'ADMININSTRACIÓN DIR - OBRA'!B768</f>
        <v>2021-2024</v>
      </c>
      <c r="AN766" s="410"/>
      <c r="AO766" s="12"/>
    </row>
    <row r="767" spans="1:41" ht="30" hidden="1" customHeight="1">
      <c r="A767" s="158">
        <f>OBRA!K769</f>
        <v>2023</v>
      </c>
      <c r="B767" s="1731"/>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'ADMININSTRACIÓN DIR - OBRA'!B769</f>
        <v>2021-2024</v>
      </c>
      <c r="AN767" s="410"/>
      <c r="AO767" s="12"/>
    </row>
    <row r="768" spans="1:41" ht="30" hidden="1" customHeight="1">
      <c r="A768" s="158">
        <f>OBRA!K770</f>
        <v>2024</v>
      </c>
      <c r="B768" s="1731"/>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'ADMININSTRACIÓN DIR - OBRA'!B770</f>
        <v>2021-2024</v>
      </c>
      <c r="AN768" s="410"/>
      <c r="AO768" s="12"/>
    </row>
    <row r="769" spans="1:41" ht="30" hidden="1" customHeight="1">
      <c r="A769" s="158">
        <f>OBRA!K771</f>
        <v>2024</v>
      </c>
      <c r="B769" s="1731"/>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'ADMININSTRACIÓN DIR - OBRA'!B771</f>
        <v>2021-2024</v>
      </c>
      <c r="AN769" s="410"/>
      <c r="AO769" s="12"/>
    </row>
    <row r="770" spans="1:41" ht="30" hidden="1" customHeight="1">
      <c r="A770" s="158">
        <f>OBRA!K772</f>
        <v>2024</v>
      </c>
      <c r="B770" s="1731"/>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'ADMININSTRACIÓN DIR - OBRA'!B772</f>
        <v>2021-2024</v>
      </c>
      <c r="AN770" s="410"/>
      <c r="AO770" s="12"/>
    </row>
    <row r="771" spans="1:41" ht="30" hidden="1" customHeight="1">
      <c r="A771" s="158">
        <f>OBRA!K773</f>
        <v>2024</v>
      </c>
      <c r="B771" s="1731"/>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'ADMININSTRACIÓN DIR - OBRA'!B773</f>
        <v>2021-2024</v>
      </c>
      <c r="AN771" s="410"/>
      <c r="AO771" s="12"/>
    </row>
    <row r="772" spans="1:41" ht="30" hidden="1" customHeight="1">
      <c r="A772" s="158">
        <f>OBRA!K774</f>
        <v>2024</v>
      </c>
      <c r="B772" s="1731"/>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'ADMININSTRACIÓN DIR - OBRA'!B774</f>
        <v>2021-2024</v>
      </c>
      <c r="AN772" s="410"/>
      <c r="AO772" s="12"/>
    </row>
    <row r="773" spans="1:41" ht="30" hidden="1" customHeight="1">
      <c r="A773" s="158">
        <f>OBRA!K775</f>
        <v>2024</v>
      </c>
      <c r="B773" s="1731"/>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'ADMININSTRACIÓN DIR - OBRA'!B775</f>
        <v>2021-2024</v>
      </c>
      <c r="AN773" s="410"/>
      <c r="AO773" s="12"/>
    </row>
    <row r="774" spans="1:41" ht="30" hidden="1" customHeight="1">
      <c r="A774" s="158">
        <f>OBRA!K776</f>
        <v>2024</v>
      </c>
      <c r="B774" s="1731"/>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'ADMININSTRACIÓN DIR - OBRA'!B776</f>
        <v>2021-2024</v>
      </c>
      <c r="AN774" s="410"/>
      <c r="AO774" s="12"/>
    </row>
    <row r="775" spans="1:41" ht="30" hidden="1" customHeight="1">
      <c r="A775" s="158">
        <f>OBRA!K777</f>
        <v>2024</v>
      </c>
      <c r="B775" s="1731"/>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'ADMININSTRACIÓN DIR - OBRA'!B777</f>
        <v>2021-2024</v>
      </c>
      <c r="AN775" s="410"/>
      <c r="AO775" s="12"/>
    </row>
    <row r="776" spans="1:41" ht="30" hidden="1" customHeight="1">
      <c r="A776" s="158">
        <f>OBRA!K778</f>
        <v>2024</v>
      </c>
      <c r="B776" s="1731"/>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'ADMININSTRACIÓN DIR - OBRA'!B778</f>
        <v>2021-2024</v>
      </c>
      <c r="AN776" s="410"/>
      <c r="AO776" s="12"/>
    </row>
    <row r="777" spans="1:41" ht="30" hidden="1" customHeight="1">
      <c r="A777" s="158">
        <f>OBRA!K779</f>
        <v>2024</v>
      </c>
      <c r="B777" s="1731"/>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'ADMININSTRACIÓN DIR - OBRA'!B779</f>
        <v>2021-2024</v>
      </c>
      <c r="AN777" s="410"/>
      <c r="AO777" s="12"/>
    </row>
    <row r="778" spans="1:41" ht="30" hidden="1" customHeight="1">
      <c r="A778" s="158">
        <f>OBRA!K780</f>
        <v>2024</v>
      </c>
      <c r="B778" s="1731"/>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'ADMININSTRACIÓN DIR - OBRA'!B780</f>
        <v>2021-2024</v>
      </c>
      <c r="AN778" s="410"/>
      <c r="AO778" s="12"/>
    </row>
    <row r="779" spans="1:41" ht="30" hidden="1" customHeight="1">
      <c r="A779" s="158">
        <f>OBRA!K781</f>
        <v>2024</v>
      </c>
      <c r="B779" s="1731"/>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'ADMININSTRACIÓN DIR - OBRA'!B781</f>
        <v>2021-2024</v>
      </c>
      <c r="AN779" s="410"/>
      <c r="AO779" s="12"/>
    </row>
    <row r="780" spans="1:41" ht="30" hidden="1" customHeight="1">
      <c r="A780" s="158">
        <f>OBRA!K782</f>
        <v>2024</v>
      </c>
      <c r="B780" s="1731"/>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'ADMININSTRACIÓN DIR - OBRA'!B782</f>
        <v>2021-2024</v>
      </c>
      <c r="AN780" s="410"/>
      <c r="AO780" s="12"/>
    </row>
    <row r="781" spans="1:41" ht="30" hidden="1" customHeight="1">
      <c r="A781" s="158">
        <f>OBRA!K783</f>
        <v>2024</v>
      </c>
      <c r="B781" s="1731"/>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'ADMININSTRACIÓN DIR - OBRA'!B783</f>
        <v>2021-2024</v>
      </c>
      <c r="AN781" s="410"/>
      <c r="AO781" s="12"/>
    </row>
    <row r="782" spans="1:41" ht="30" hidden="1" customHeight="1">
      <c r="A782" s="158">
        <f>OBRA!K784</f>
        <v>2024</v>
      </c>
      <c r="B782" s="1731"/>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'ADMININSTRACIÓN DIR - OBRA'!B784</f>
        <v>2021-2024</v>
      </c>
      <c r="AN782" s="410"/>
      <c r="AO782" s="12"/>
    </row>
    <row r="783" spans="1:41" ht="30" hidden="1" customHeight="1">
      <c r="A783" s="158">
        <f>OBRA!K785</f>
        <v>2024</v>
      </c>
      <c r="B783" s="1731"/>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'ADMININSTRACIÓN DIR - OBRA'!B785</f>
        <v>2021-2024</v>
      </c>
      <c r="AN783" s="410"/>
      <c r="AO783" s="12"/>
    </row>
    <row r="784" spans="1:41" ht="30" hidden="1" customHeight="1">
      <c r="A784" s="158">
        <f>OBRA!K786</f>
        <v>2024</v>
      </c>
      <c r="B784" s="1731"/>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'ADMININSTRACIÓN DIR - OBRA'!B786</f>
        <v>2021-2024</v>
      </c>
      <c r="AN784" s="410"/>
      <c r="AO784" s="12"/>
    </row>
    <row r="785" spans="1:41" ht="30" hidden="1" customHeight="1">
      <c r="A785" s="158">
        <f>OBRA!K787</f>
        <v>2024</v>
      </c>
      <c r="B785" s="1731"/>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'ADMININSTRACIÓN DIR - OBRA'!B787</f>
        <v>2021-2024</v>
      </c>
      <c r="AN785" s="410"/>
      <c r="AO785" s="12"/>
    </row>
    <row r="786" spans="1:41" ht="30" hidden="1" customHeight="1">
      <c r="A786" s="158">
        <f>OBRA!K788</f>
        <v>2024</v>
      </c>
      <c r="B786" s="1731"/>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'ADMININSTRACIÓN DIR - OBRA'!B788</f>
        <v>2021-2024</v>
      </c>
      <c r="AN786" s="410"/>
      <c r="AO786" s="12"/>
    </row>
    <row r="787" spans="1:41" ht="30" hidden="1" customHeight="1">
      <c r="A787" s="158">
        <f>OBRA!K789</f>
        <v>2024</v>
      </c>
      <c r="B787" s="1731"/>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'ADMININSTRACIÓN DIR - OBRA'!B789</f>
        <v>2021-2024</v>
      </c>
      <c r="AN787" s="410"/>
      <c r="AO787" s="12"/>
    </row>
    <row r="788" spans="1:41" ht="30" hidden="1" customHeight="1">
      <c r="A788" s="158">
        <f>OBRA!K790</f>
        <v>2024</v>
      </c>
      <c r="B788" s="1731"/>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'ADMININSTRACIÓN DIR - OBRA'!B790</f>
        <v>2021-2024</v>
      </c>
      <c r="AN788" s="410"/>
      <c r="AO788" s="12"/>
    </row>
    <row r="789" spans="1:41" ht="30" hidden="1" customHeight="1">
      <c r="A789" s="158">
        <f>OBRA!K791</f>
        <v>2024</v>
      </c>
      <c r="B789" s="1731"/>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'ADMININSTRACIÓN DIR - OBRA'!B791</f>
        <v>2021-2024</v>
      </c>
      <c r="AN789" s="410"/>
      <c r="AO789" s="12"/>
    </row>
    <row r="790" spans="1:41" ht="30" hidden="1" customHeight="1">
      <c r="A790" s="158">
        <f>OBRA!K792</f>
        <v>2024</v>
      </c>
      <c r="B790" s="1731"/>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'ADMININSTRACIÓN DIR - OBRA'!B792</f>
        <v>2021-2024</v>
      </c>
      <c r="AN790" s="410"/>
      <c r="AO790" s="12"/>
    </row>
    <row r="791" spans="1:41" ht="30" hidden="1" customHeight="1">
      <c r="A791" s="158">
        <f>OBRA!K793</f>
        <v>2024</v>
      </c>
      <c r="B791" s="1731"/>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'ADMININSTRACIÓN DIR - OBRA'!B793</f>
        <v>2021-2024</v>
      </c>
      <c r="AN791" s="410"/>
      <c r="AO791" s="12"/>
    </row>
    <row r="792" spans="1:41" ht="30" hidden="1" customHeight="1">
      <c r="A792" s="158">
        <f>OBRA!K794</f>
        <v>2024</v>
      </c>
      <c r="B792" s="1731"/>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'ADMININSTRACIÓN DIR - OBRA'!B794</f>
        <v>2021-2024</v>
      </c>
      <c r="AN792" s="410"/>
      <c r="AO792" s="12"/>
    </row>
    <row r="793" spans="1:41" ht="30" hidden="1" customHeight="1">
      <c r="A793" s="158">
        <f>OBRA!K795</f>
        <v>2024</v>
      </c>
      <c r="B793" s="1731"/>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'ADMININSTRACIÓN DIR - OBRA'!B795</f>
        <v>2021-2024</v>
      </c>
      <c r="AN793" s="410"/>
      <c r="AO793" s="12"/>
    </row>
    <row r="794" spans="1:41" ht="30" hidden="1" customHeight="1">
      <c r="A794" s="158">
        <f>OBRA!K796</f>
        <v>2024</v>
      </c>
      <c r="B794" s="1731"/>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'ADMININSTRACIÓN DIR - OBRA'!B796</f>
        <v>2021-2024</v>
      </c>
      <c r="AN794" s="410"/>
      <c r="AO794" s="12"/>
    </row>
    <row r="795" spans="1:41" ht="30" hidden="1" customHeight="1">
      <c r="A795" s="158">
        <f>OBRA!K797</f>
        <v>2024</v>
      </c>
      <c r="B795" s="1731"/>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'ADMININSTRACIÓN DIR - OBRA'!B797</f>
        <v>2021-2024</v>
      </c>
      <c r="AN795" s="410"/>
      <c r="AO795" s="12"/>
    </row>
    <row r="796" spans="1:41" ht="30" hidden="1" customHeight="1">
      <c r="A796" s="158">
        <f>OBRA!K798</f>
        <v>2024</v>
      </c>
      <c r="B796" s="1731"/>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'ADMININSTRACIÓN DIR - OBRA'!B798</f>
        <v>2021-2024</v>
      </c>
      <c r="AN796" s="410"/>
      <c r="AO796" s="12"/>
    </row>
    <row r="797" spans="1:41" ht="30" hidden="1" customHeight="1">
      <c r="A797" s="158">
        <f>OBRA!K799</f>
        <v>2024</v>
      </c>
      <c r="B797" s="1731"/>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'ADMININSTRACIÓN DIR - OBRA'!B799</f>
        <v>2021-2024</v>
      </c>
      <c r="AN797" s="410"/>
      <c r="AO797" s="12"/>
    </row>
    <row r="798" spans="1:41" ht="30" hidden="1" customHeight="1">
      <c r="A798" s="158">
        <f>OBRA!K800</f>
        <v>2024</v>
      </c>
      <c r="B798" s="1731"/>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'ADMININSTRACIÓN DIR - OBRA'!B800</f>
        <v>2021-2024</v>
      </c>
      <c r="AN798" s="410"/>
      <c r="AO798" s="12"/>
    </row>
    <row r="799" spans="1:41" ht="30" hidden="1" customHeight="1">
      <c r="A799" s="158">
        <f>OBRA!K801</f>
        <v>2024</v>
      </c>
      <c r="B799" s="1731"/>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'ADMININSTRACIÓN DIR - OBRA'!B801</f>
        <v>2021-2024</v>
      </c>
      <c r="AN799" s="410"/>
      <c r="AO799" s="12"/>
    </row>
    <row r="800" spans="1:41" ht="30" hidden="1" customHeight="1">
      <c r="A800" s="158">
        <f>OBRA!K802</f>
        <v>2024</v>
      </c>
      <c r="B800" s="1731"/>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'ADMININSTRACIÓN DIR - OBRA'!B802</f>
        <v>2021-2024</v>
      </c>
      <c r="AN800" s="410"/>
      <c r="AO800" s="12"/>
    </row>
    <row r="801" spans="1:41" ht="30" hidden="1" customHeight="1">
      <c r="A801" s="158">
        <f>OBRA!K803</f>
        <v>2024</v>
      </c>
      <c r="B801" s="1731"/>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'ADMININSTRACIÓN DIR - OBRA'!B803</f>
        <v>2021-2024</v>
      </c>
      <c r="AN801" s="410"/>
      <c r="AO801" s="12"/>
    </row>
    <row r="802" spans="1:41" ht="30" hidden="1" customHeight="1">
      <c r="A802" s="158">
        <f>OBRA!K804</f>
        <v>2024</v>
      </c>
      <c r="B802" s="1731"/>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'ADMININSTRACIÓN DIR - OBRA'!B804</f>
        <v>2021-2024</v>
      </c>
      <c r="AN802" s="410"/>
      <c r="AO802" s="12"/>
    </row>
    <row r="803" spans="1:41" ht="30" hidden="1" customHeight="1">
      <c r="A803" s="158">
        <f>OBRA!K805</f>
        <v>2024</v>
      </c>
      <c r="B803" s="1731"/>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'ADMININSTRACIÓN DIR - OBRA'!B805</f>
        <v>2021-2024</v>
      </c>
      <c r="AN803" s="410"/>
      <c r="AO803" s="12"/>
    </row>
    <row r="804" spans="1:41" ht="30" hidden="1" customHeight="1">
      <c r="A804" s="158">
        <f>OBRA!K806</f>
        <v>2024</v>
      </c>
      <c r="B804" s="1731"/>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'ADMININSTRACIÓN DIR - OBRA'!B806</f>
        <v>2021-2024</v>
      </c>
      <c r="AN804" s="410"/>
      <c r="AO804" s="12"/>
    </row>
    <row r="805" spans="1:41" ht="30" hidden="1" customHeight="1">
      <c r="A805" s="158">
        <f>OBRA!K807</f>
        <v>2024</v>
      </c>
      <c r="B805" s="1731"/>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'ADMININSTRACIÓN DIR - OBRA'!B807</f>
        <v>2021-2024</v>
      </c>
      <c r="AN805" s="410"/>
      <c r="AO805" s="12"/>
    </row>
    <row r="806" spans="1:41" ht="30" hidden="1" customHeight="1">
      <c r="A806" s="158">
        <f>OBRA!K808</f>
        <v>2024</v>
      </c>
      <c r="B806" s="1731"/>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'ADMININSTRACIÓN DIR - OBRA'!B808</f>
        <v>2021-2024</v>
      </c>
      <c r="AN806" s="410"/>
      <c r="AO806" s="12"/>
    </row>
    <row r="807" spans="1:41" ht="30" hidden="1" customHeight="1">
      <c r="A807" s="158">
        <f>OBRA!K809</f>
        <v>2024</v>
      </c>
      <c r="B807" s="1731"/>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'ADMININSTRACIÓN DIR - OBRA'!B809</f>
        <v>2021-2024</v>
      </c>
      <c r="AN807" s="410"/>
      <c r="AO807" s="12"/>
    </row>
    <row r="808" spans="1:41" ht="30" hidden="1" customHeight="1">
      <c r="A808" s="158">
        <f>OBRA!K810</f>
        <v>2024</v>
      </c>
      <c r="B808" s="1731"/>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'ADMININSTRACIÓN DIR - OBRA'!B810</f>
        <v>2021-2024</v>
      </c>
      <c r="AN808" s="410"/>
      <c r="AO808" s="12"/>
    </row>
    <row r="809" spans="1:41" ht="30" hidden="1" customHeight="1">
      <c r="A809" s="158">
        <f>OBRA!K811</f>
        <v>2024</v>
      </c>
      <c r="B809" s="1731"/>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'ADMININSTRACIÓN DIR - OBRA'!B811</f>
        <v>2021-2024</v>
      </c>
      <c r="AN809" s="410"/>
      <c r="AO809" s="12"/>
    </row>
    <row r="810" spans="1:41" ht="30" hidden="1" customHeight="1">
      <c r="A810" s="158">
        <f>OBRA!K812</f>
        <v>2024</v>
      </c>
      <c r="B810" s="1731"/>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'ADMININSTRACIÓN DIR - OBRA'!B812</f>
        <v>2021-2024</v>
      </c>
      <c r="AN810" s="410"/>
      <c r="AO810" s="12"/>
    </row>
    <row r="811" spans="1:41" ht="30" hidden="1" customHeight="1">
      <c r="A811" s="158">
        <f>OBRA!K813</f>
        <v>2024</v>
      </c>
      <c r="B811" s="1731"/>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'ADMININSTRACIÓN DIR - OBRA'!B813</f>
        <v>2021-2024</v>
      </c>
      <c r="AN811" s="410"/>
      <c r="AO811" s="12"/>
    </row>
    <row r="812" spans="1:41" ht="30" hidden="1" customHeight="1">
      <c r="A812" s="158">
        <f>OBRA!K814</f>
        <v>2024</v>
      </c>
      <c r="B812" s="1731"/>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'ADMININSTRACIÓN DIR - OBRA'!B814</f>
        <v>2021-2024</v>
      </c>
      <c r="AN812" s="410"/>
      <c r="AO812" s="12"/>
    </row>
    <row r="813" spans="1:41" ht="30" hidden="1" customHeight="1">
      <c r="A813" s="158">
        <f>OBRA!K815</f>
        <v>2024</v>
      </c>
      <c r="B813" s="1731"/>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'ADMININSTRACIÓN DIR - OBRA'!B815</f>
        <v>2021-2024</v>
      </c>
      <c r="AN813" s="410"/>
      <c r="AO813" s="12"/>
    </row>
    <row r="814" spans="1:41" ht="30" hidden="1" customHeight="1">
      <c r="A814" s="158">
        <f>OBRA!K816</f>
        <v>2024</v>
      </c>
      <c r="B814" s="1731"/>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'ADMININSTRACIÓN DIR - OBRA'!B816</f>
        <v>2021-2024</v>
      </c>
      <c r="AN814" s="410"/>
      <c r="AO814" s="12"/>
    </row>
    <row r="815" spans="1:41" ht="30" hidden="1" customHeight="1">
      <c r="A815" s="158">
        <f>OBRA!K817</f>
        <v>2024</v>
      </c>
      <c r="B815" s="1731"/>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'ADMININSTRACIÓN DIR - OBRA'!B817</f>
        <v>2021-2024</v>
      </c>
      <c r="AN815" s="410"/>
      <c r="AO815" s="12"/>
    </row>
    <row r="816" spans="1:41" ht="30" hidden="1" customHeight="1">
      <c r="A816" s="158">
        <f>OBRA!K818</f>
        <v>2024</v>
      </c>
      <c r="B816" s="1731"/>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'ADMININSTRACIÓN DIR - OBRA'!B818</f>
        <v>2021-2024</v>
      </c>
      <c r="AN816" s="410"/>
      <c r="AO816" s="12"/>
    </row>
    <row r="817" spans="1:41" ht="30" hidden="1" customHeight="1">
      <c r="A817" s="158">
        <f>OBRA!K819</f>
        <v>2024</v>
      </c>
      <c r="B817" s="1731"/>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'ADMININSTRACIÓN DIR - OBRA'!B819</f>
        <v>2021-2024</v>
      </c>
      <c r="AN817" s="410"/>
      <c r="AO817" s="12"/>
    </row>
    <row r="818" spans="1:41" ht="30" hidden="1" customHeight="1">
      <c r="A818" s="158">
        <f>OBRA!K820</f>
        <v>2024</v>
      </c>
      <c r="B818" s="1731"/>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'ADMININSTRACIÓN DIR - OBRA'!B820</f>
        <v>2021-2024</v>
      </c>
      <c r="AN818" s="410"/>
      <c r="AO818" s="12"/>
    </row>
    <row r="819" spans="1:41" ht="30" hidden="1" customHeight="1">
      <c r="A819" s="158">
        <f>OBRA!K821</f>
        <v>2024</v>
      </c>
      <c r="B819" s="1731"/>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'ADMININSTRACIÓN DIR - OBRA'!B821</f>
        <v>2021-2024</v>
      </c>
      <c r="AN819" s="410"/>
      <c r="AO819" s="12"/>
    </row>
    <row r="820" spans="1:41" ht="30" hidden="1" customHeight="1">
      <c r="A820" s="158">
        <f>OBRA!K822</f>
        <v>2024</v>
      </c>
      <c r="B820" s="1731"/>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'ADMININSTRACIÓN DIR - OBRA'!B822</f>
        <v>2021-2024</v>
      </c>
      <c r="AN820" s="410"/>
      <c r="AO820" s="12"/>
    </row>
    <row r="821" spans="1:41" ht="30" hidden="1" customHeight="1">
      <c r="A821" s="158">
        <f>OBRA!K823</f>
        <v>2024</v>
      </c>
      <c r="B821" s="1731"/>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'ADMININSTRACIÓN DIR - OBRA'!B823</f>
        <v>2021-2024</v>
      </c>
      <c r="AN821" s="410"/>
      <c r="AO821" s="12"/>
    </row>
    <row r="822" spans="1:41" ht="30" hidden="1" customHeight="1">
      <c r="A822" s="158">
        <f>OBRA!K824</f>
        <v>2024</v>
      </c>
      <c r="B822" s="1731"/>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23/2024</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'ADMININSTRACIÓN DIR - OBRA'!B824</f>
        <v>2021-2024</v>
      </c>
      <c r="AN822" s="410"/>
      <c r="AO822" s="12"/>
    </row>
    <row r="823" spans="1:41" ht="30" hidden="1" customHeight="1">
      <c r="A823" s="158">
        <f>OBRA!K825</f>
        <v>2024</v>
      </c>
      <c r="B823" s="1731"/>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'ADMININSTRACIÓN DIR - OBRA'!B825</f>
        <v>2021-2024</v>
      </c>
      <c r="AN823" s="410"/>
      <c r="AO823" s="12"/>
    </row>
    <row r="824" spans="1:41" ht="30" hidden="1" customHeight="1">
      <c r="A824" s="158">
        <f>OBRA!K826</f>
        <v>2024</v>
      </c>
      <c r="B824" s="1731"/>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'ADMININSTRACIÓN DIR - OBRA'!B826</f>
        <v>2021-2024</v>
      </c>
      <c r="AN824" s="410"/>
      <c r="AO824" s="12"/>
    </row>
    <row r="825" spans="1:41" ht="30" hidden="1" customHeight="1">
      <c r="A825" s="158">
        <f>OBRA!K827</f>
        <v>2024</v>
      </c>
      <c r="B825" s="1731"/>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'ADMININSTRACIÓN DIR - OBRA'!B827</f>
        <v>2021-2024</v>
      </c>
      <c r="AN825" s="410"/>
      <c r="AO825" s="12"/>
    </row>
    <row r="826" spans="1:41" ht="30" hidden="1" customHeight="1">
      <c r="A826" s="158">
        <f>OBRA!K828</f>
        <v>2024</v>
      </c>
      <c r="B826" s="1731"/>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'ADMININSTRACIÓN DIR - OBRA'!B828</f>
        <v>2021-2024</v>
      </c>
      <c r="AN826" s="410"/>
      <c r="AO826" s="12"/>
    </row>
    <row r="827" spans="1:41" ht="30" hidden="1" customHeight="1">
      <c r="A827" s="158">
        <f>OBRA!K829</f>
        <v>2024</v>
      </c>
      <c r="B827" s="1731"/>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'ADMININSTRACIÓN DIR - OBRA'!B829</f>
        <v>2021-2024</v>
      </c>
      <c r="AN827" s="410"/>
      <c r="AO827" s="12"/>
    </row>
    <row r="828" spans="1:41" ht="30" hidden="1" customHeight="1">
      <c r="A828" s="158">
        <f>OBRA!K830</f>
        <v>2024</v>
      </c>
      <c r="B828" s="1731"/>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'ADMININSTRACIÓN DIR - OBRA'!B830</f>
        <v>2021-2024</v>
      </c>
      <c r="AN828" s="410"/>
      <c r="AO828" s="12"/>
    </row>
    <row r="829" spans="1:41" ht="30" hidden="1" customHeight="1">
      <c r="A829" s="158">
        <f>OBRA!K831</f>
        <v>2024</v>
      </c>
      <c r="B829" s="1731"/>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'ADMININSTRACIÓN DIR - OBRA'!B831</f>
        <v>2024-2027</v>
      </c>
      <c r="AN829" s="410"/>
      <c r="AO829" s="12"/>
    </row>
    <row r="830" spans="1:41" ht="30" hidden="1" customHeight="1">
      <c r="A830" s="158">
        <f>OBRA!K832</f>
        <v>2024</v>
      </c>
      <c r="B830" s="1731"/>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'ADMININSTRACIÓN DIR - OBRA'!B832</f>
        <v>2024-2027</v>
      </c>
      <c r="AN830" s="410"/>
      <c r="AO830" s="12"/>
    </row>
    <row r="831" spans="1:41" ht="30" hidden="1" customHeight="1">
      <c r="A831" s="158">
        <f>OBRA!K833</f>
        <v>2024</v>
      </c>
      <c r="B831" s="1731"/>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'ADMININSTRACIÓN DIR - OBRA'!B833</f>
        <v>2024-2027</v>
      </c>
      <c r="AN831" s="410"/>
      <c r="AO831" s="12"/>
    </row>
    <row r="832" spans="1:41" ht="30" hidden="1" customHeight="1">
      <c r="A832" s="158">
        <f>OBRA!K834</f>
        <v>2024</v>
      </c>
      <c r="B832" s="1731"/>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45320</v>
      </c>
      <c r="AH832" s="208"/>
      <c r="AI832" s="161"/>
      <c r="AJ832" s="220"/>
      <c r="AK832" s="220"/>
      <c r="AL832" s="623"/>
      <c r="AM832" s="521" t="str">
        <f>'ADMININSTRACIÓN DIR - OBRA'!B834</f>
        <v>2024-2027</v>
      </c>
      <c r="AN832" s="410"/>
      <c r="AO832" s="12"/>
    </row>
    <row r="833" spans="1:41" ht="30" hidden="1" customHeight="1">
      <c r="A833" s="158">
        <f>OBRA!K835</f>
        <v>2024</v>
      </c>
      <c r="B833" s="1731"/>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'ADMININSTRACIÓN DIR - OBRA'!B835</f>
        <v>2024-2027</v>
      </c>
      <c r="AN833" s="410"/>
      <c r="AO833" s="12"/>
    </row>
    <row r="834" spans="1:41" ht="30" hidden="1" customHeight="1">
      <c r="A834" s="158">
        <f>OBRA!K836</f>
        <v>2024</v>
      </c>
      <c r="B834" s="1731"/>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'ADMININSTRACIÓN DIR - OBRA'!B836</f>
        <v>2021-2024</v>
      </c>
      <c r="AN834" s="410"/>
      <c r="AO834" s="12"/>
    </row>
    <row r="835" spans="1:41" ht="122.25" customHeight="1">
      <c r="A835" s="158">
        <f>OBRA!K837</f>
        <v>2024</v>
      </c>
      <c r="B835" s="1733" t="str">
        <f>W835</f>
        <v>CSS-OP-CC-004/2024</v>
      </c>
      <c r="C835" s="1295" t="s">
        <v>6051</v>
      </c>
      <c r="D835" s="1638" t="s">
        <v>6477</v>
      </c>
      <c r="E835" s="1644" t="s">
        <v>5807</v>
      </c>
      <c r="F835" s="1923" t="s">
        <v>6475</v>
      </c>
      <c r="G835" s="504" t="s">
        <v>6051</v>
      </c>
      <c r="H835" s="166">
        <f>OBRA!AG837</f>
        <v>45328</v>
      </c>
      <c r="I835" s="503" t="s">
        <v>6051</v>
      </c>
      <c r="J835" s="1636">
        <f>OBRA!AH837</f>
        <v>45330</v>
      </c>
      <c r="K835" s="527" t="s">
        <v>6051</v>
      </c>
      <c r="L835" s="166">
        <f>OBRA!AI837</f>
        <v>45330</v>
      </c>
      <c r="M835" s="549" t="s">
        <v>6051</v>
      </c>
      <c r="N835" s="572">
        <f>OBRA!AJ837</f>
        <v>45335</v>
      </c>
      <c r="O835" s="1618" t="s">
        <v>6478</v>
      </c>
      <c r="P835" s="1924">
        <v>0.41666666666666669</v>
      </c>
      <c r="Q835" s="527" t="s">
        <v>6051</v>
      </c>
      <c r="R835" s="206">
        <f>OBRA!AK837</f>
        <v>45337</v>
      </c>
      <c r="S835" s="1950" t="s">
        <v>6580</v>
      </c>
      <c r="T835" s="400" t="str">
        <f>OBRA!X837</f>
        <v>RAMPER DRILLINGS S.A. DE C.V.</v>
      </c>
      <c r="U835" s="409" t="str">
        <f>OBRA!Y837</f>
        <v>ARQ. JAIME CONDE GOMEZ</v>
      </c>
      <c r="V835" s="1111"/>
      <c r="W835" s="33" t="str">
        <f>OBRA!O837</f>
        <v>CSS-OP-CC-004/2024</v>
      </c>
      <c r="X835" s="1349" t="s">
        <v>6044</v>
      </c>
      <c r="Y835" s="1226" t="s">
        <v>6035</v>
      </c>
      <c r="Z835" s="411" t="str">
        <f>OBRA!N837</f>
        <v>CUENTA CORRIENTE</v>
      </c>
      <c r="AA835" s="410" t="s">
        <v>2323</v>
      </c>
      <c r="AB835" s="2" t="str">
        <f>OBRA!P837</f>
        <v>CONCURSO SIMPLIFICADO SUMARIO</v>
      </c>
      <c r="AC835" s="3" t="str">
        <f>OBRA!Q837</f>
        <v>"PERFORACIÓN DE UN POZO PROFUNDO PARA LA EXTRACIÓN DE AGUA POTABLE A 250 ML", EN LA LOCALIDAD DE SAN PEDRO TESISTÁN, MUNICIPIO DE JOCOTEPEC, JALISCO.</v>
      </c>
      <c r="AD835" s="4">
        <f>OBRA!S837</f>
        <v>4461580.4000000004</v>
      </c>
      <c r="AE835" s="6">
        <f>OBRA!T837</f>
        <v>45338</v>
      </c>
      <c r="AF835" s="5">
        <f>OBRA!U837</f>
        <v>45343</v>
      </c>
      <c r="AG835" s="11">
        <f>OBRA!V837</f>
        <v>45402</v>
      </c>
      <c r="AH835" s="208" t="s">
        <v>4449</v>
      </c>
      <c r="AI835" s="212" t="s">
        <v>1176</v>
      </c>
      <c r="AJ835" s="1" t="s">
        <v>1176</v>
      </c>
      <c r="AK835" s="504" t="s">
        <v>6051</v>
      </c>
      <c r="AL835" s="504" t="s">
        <v>6051</v>
      </c>
      <c r="AM835" s="521" t="str">
        <f>'ADMININSTRACIÓN DIR - OBRA'!B837</f>
        <v>2021-2024</v>
      </c>
      <c r="AN835" s="410"/>
      <c r="AO835" s="12"/>
    </row>
    <row r="836" spans="1:41" ht="30" hidden="1" customHeight="1">
      <c r="A836" s="158">
        <f>OBRA!K838</f>
        <v>2024</v>
      </c>
      <c r="B836" s="1731"/>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'ADMININSTRACIÓN DIR - OBRA'!B838</f>
        <v>2021-2024</v>
      </c>
      <c r="AN836" s="410"/>
      <c r="AO836" s="12"/>
    </row>
    <row r="837" spans="1:41" ht="30" hidden="1" customHeight="1">
      <c r="A837" s="158">
        <f>OBRA!K839</f>
        <v>2024</v>
      </c>
      <c r="B837" s="1731"/>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'ADMININSTRACIÓN DIR - OBRA'!B839</f>
        <v>2021-2024</v>
      </c>
      <c r="AN837" s="410"/>
      <c r="AO837" s="12"/>
    </row>
    <row r="838" spans="1:41" ht="30" hidden="1" customHeight="1">
      <c r="A838" s="158">
        <f>OBRA!K840</f>
        <v>2024</v>
      </c>
      <c r="B838" s="1731"/>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'ADMININSTRACIÓN DIR - OBRA'!B840</f>
        <v>2021-2024</v>
      </c>
      <c r="AN838" s="410"/>
      <c r="AO838" s="12"/>
    </row>
    <row r="839" spans="1:41" ht="180">
      <c r="A839" s="158">
        <f>OBRA!K841</f>
        <v>2024</v>
      </c>
      <c r="B839" s="1733" t="str">
        <f>W839</f>
        <v>CSS-OP-CC-008/2024</v>
      </c>
      <c r="C839" s="412" t="s">
        <v>6168</v>
      </c>
      <c r="D839" s="1638" t="s">
        <v>6477</v>
      </c>
      <c r="E839" s="1644" t="s">
        <v>5807</v>
      </c>
      <c r="F839" s="1923" t="s">
        <v>6475</v>
      </c>
      <c r="G839" s="414" t="s">
        <v>6168</v>
      </c>
      <c r="H839" s="572">
        <f>OBRA!AG841</f>
        <v>45345</v>
      </c>
      <c r="I839" s="414" t="s">
        <v>6168</v>
      </c>
      <c r="J839" s="573">
        <f>OBRA!AH841</f>
        <v>45346</v>
      </c>
      <c r="K839" s="414" t="s">
        <v>6168</v>
      </c>
      <c r="L839" s="572">
        <f>OBRA!AI841</f>
        <v>45346</v>
      </c>
      <c r="M839" s="414" t="s">
        <v>6168</v>
      </c>
      <c r="N839" s="572">
        <f>OBRA!AJ841</f>
        <v>45348</v>
      </c>
      <c r="O839" s="1618" t="s">
        <v>6478</v>
      </c>
      <c r="P839" s="1924">
        <v>0.41666666666666669</v>
      </c>
      <c r="Q839" s="414" t="s">
        <v>6168</v>
      </c>
      <c r="R839" s="206">
        <f>OBRA!AK841</f>
        <v>45349</v>
      </c>
      <c r="S839" s="1950" t="s">
        <v>6581</v>
      </c>
      <c r="T839" s="400" t="str">
        <f>OBRA!X841</f>
        <v xml:space="preserve">EDIFICACIONES GRADINA, S.A. DE C.V. </v>
      </c>
      <c r="U839" s="409" t="str">
        <f>OBRA!Y841</f>
        <v>ING. J. GUADALUPE IBARRA RAMIREZ</v>
      </c>
      <c r="V839" s="1111"/>
      <c r="W839" s="33" t="str">
        <f>OBRA!O841</f>
        <v>CSS-OP-CC-008/2024</v>
      </c>
      <c r="X839" s="1349" t="s">
        <v>6044</v>
      </c>
      <c r="Y839" s="1226" t="s">
        <v>6041</v>
      </c>
      <c r="Z839" s="411" t="str">
        <f>OBRA!N841</f>
        <v>CUENTA CORRIENTE</v>
      </c>
      <c r="AA839" s="410" t="s">
        <v>2323</v>
      </c>
      <c r="AB839" s="2" t="str">
        <f>OBRA!P841</f>
        <v>CONCURSO SIMPLIFICADO SUMARIO</v>
      </c>
      <c r="AC839" s="3" t="str">
        <f>OBRA!Q841</f>
        <v>"PERFORACIÓN DE UN POZO PROFUNDO EN CALLE MIGUEL ARANA CRUCE CON ALLENDE (ZONA CENTRO)", EN LA CABECERA MUNICIPAL DE JOCOTEPEC, JALISCO.</v>
      </c>
      <c r="AD839" s="4">
        <f>OBRA!S841</f>
        <v>7514599.0899999999</v>
      </c>
      <c r="AE839" s="6">
        <f>OBRA!T841</f>
        <v>45350</v>
      </c>
      <c r="AF839" s="5">
        <f>OBRA!U841</f>
        <v>45351</v>
      </c>
      <c r="AG839" s="11">
        <f>OBRA!V841</f>
        <v>45427</v>
      </c>
      <c r="AH839" s="208" t="s">
        <v>4449</v>
      </c>
      <c r="AI839" s="212" t="s">
        <v>1176</v>
      </c>
      <c r="AJ839" s="1" t="s">
        <v>1176</v>
      </c>
      <c r="AK839" s="496" t="s">
        <v>6168</v>
      </c>
      <c r="AL839" s="697" t="s">
        <v>6168</v>
      </c>
      <c r="AM839" s="521" t="str">
        <f>'ADMININSTRACIÓN DIR - OBRA'!B841</f>
        <v>2021-2024</v>
      </c>
      <c r="AN839" s="410"/>
      <c r="AO839" s="12"/>
    </row>
    <row r="840" spans="1:41" ht="30" hidden="1" customHeight="1">
      <c r="A840" s="158">
        <f>OBRA!K842</f>
        <v>2024</v>
      </c>
      <c r="B840" s="1731"/>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'ADMININSTRACIÓN DIR - OBRA'!B842</f>
        <v>2021-2024</v>
      </c>
      <c r="AN840" s="410"/>
      <c r="AO840" s="12"/>
    </row>
    <row r="841" spans="1:41" ht="30" hidden="1" customHeight="1">
      <c r="A841" s="158">
        <f>OBRA!K843</f>
        <v>2024</v>
      </c>
      <c r="B841" s="1731"/>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'ADMININSTRACIÓN DIR - OBRA'!B843</f>
        <v>2021-2024</v>
      </c>
      <c r="AN841" s="410"/>
      <c r="AO841" s="12"/>
    </row>
    <row r="842" spans="1:41" ht="121.5" customHeight="1">
      <c r="A842" s="158">
        <f>OBRA!K844</f>
        <v>2024</v>
      </c>
      <c r="B842" s="1733" t="str">
        <f>W842</f>
        <v>CSS-OP-FAIS/RAMO 33-011/2024</v>
      </c>
      <c r="C842" s="1841"/>
      <c r="D842" s="163"/>
      <c r="E842" s="1193"/>
      <c r="F842" s="1193"/>
      <c r="G842" s="414" t="s">
        <v>6528</v>
      </c>
      <c r="H842" s="572">
        <f>OBRA!AG844</f>
        <v>45383</v>
      </c>
      <c r="I842" s="414" t="s">
        <v>6528</v>
      </c>
      <c r="J842" s="573">
        <f>OBRA!AH844</f>
        <v>45385</v>
      </c>
      <c r="K842" s="414" t="s">
        <v>6528</v>
      </c>
      <c r="L842" s="572">
        <f>OBRA!AI844</f>
        <v>45385</v>
      </c>
      <c r="M842" s="414" t="s">
        <v>6528</v>
      </c>
      <c r="N842" s="572">
        <f>OBRA!AJ844</f>
        <v>45390</v>
      </c>
      <c r="O842" s="1618" t="s">
        <v>6478</v>
      </c>
      <c r="P842" s="1924">
        <v>0.41666666666666669</v>
      </c>
      <c r="Q842" s="414" t="s">
        <v>6528</v>
      </c>
      <c r="R842" s="206">
        <f>OBRA!AK844</f>
        <v>45392</v>
      </c>
      <c r="S842" s="1950" t="s">
        <v>6582</v>
      </c>
      <c r="T842" s="400" t="str">
        <f>OBRA!X844</f>
        <v>TERRACERÍAS Y PAVIMENTOS DE LA RIBERA, S.A. DE C.V.</v>
      </c>
      <c r="U842" s="409" t="str">
        <f>OBRA!Y844</f>
        <v>C. DANIEL RODRIGUEZ VALENZUELA</v>
      </c>
      <c r="V842" s="1111"/>
      <c r="W842" s="33" t="str">
        <f>OBRA!O844</f>
        <v>CSS-OP-FAIS/RAMO 33-011/2024</v>
      </c>
      <c r="X842" s="1349" t="s">
        <v>6512</v>
      </c>
      <c r="Y842" s="1226" t="s">
        <v>6529</v>
      </c>
      <c r="Z842" s="410" t="str">
        <f>OBRA!N844</f>
        <v>RAMO 33</v>
      </c>
      <c r="AA842" s="410" t="s">
        <v>2363</v>
      </c>
      <c r="AB842" s="2" t="str">
        <f>OBRA!P844</f>
        <v>CONCURSO SIMPLIFICADO SUMARIO</v>
      </c>
      <c r="AC842" s="3" t="str">
        <f>OBRA!Q844</f>
        <v>"CONSTRUCCIÓN DE LÍNEA DE COLECTOR  DE 18", EN LA CABECERA MUNICIPAL DE JOCOTEPEC, JALISCO.</v>
      </c>
      <c r="AD842" s="4">
        <f>OBRA!S844</f>
        <v>5799082.5300000003</v>
      </c>
      <c r="AE842" s="6">
        <f>OBRA!T844</f>
        <v>45394</v>
      </c>
      <c r="AF842" s="5">
        <f>OBRA!U844</f>
        <v>45397</v>
      </c>
      <c r="AG842" s="11">
        <f>OBRA!V844</f>
        <v>45458</v>
      </c>
      <c r="AH842" s="208" t="s">
        <v>3819</v>
      </c>
      <c r="AI842" s="500" t="s">
        <v>6512</v>
      </c>
      <c r="AJ842" s="220"/>
      <c r="AK842" s="496" t="s">
        <v>6528</v>
      </c>
      <c r="AL842" s="414" t="s">
        <v>6528</v>
      </c>
      <c r="AM842" s="521" t="str">
        <f>'ADMININSTRACIÓN DIR - OBRA'!B844</f>
        <v>2021-2024</v>
      </c>
      <c r="AN842" s="410"/>
      <c r="AO842" s="12"/>
    </row>
    <row r="843" spans="1:41" ht="180">
      <c r="A843" s="158">
        <f>OBRA!K845</f>
        <v>2024</v>
      </c>
      <c r="B843" s="1733" t="str">
        <f>W843</f>
        <v>CSS-OP-CC-012/2024</v>
      </c>
      <c r="C843" s="412" t="s">
        <v>6530</v>
      </c>
      <c r="D843" s="1638" t="s">
        <v>6477</v>
      </c>
      <c r="E843" s="1644" t="s">
        <v>5807</v>
      </c>
      <c r="F843" s="1923" t="s">
        <v>6475</v>
      </c>
      <c r="G843" s="414" t="s">
        <v>6530</v>
      </c>
      <c r="H843" s="572">
        <f>OBRA!AG845</f>
        <v>45383</v>
      </c>
      <c r="I843" s="414" t="s">
        <v>6530</v>
      </c>
      <c r="J843" s="573">
        <f>OBRA!AH845</f>
        <v>45385</v>
      </c>
      <c r="K843" s="414" t="s">
        <v>6530</v>
      </c>
      <c r="L843" s="572">
        <f>OBRA!AI845</f>
        <v>45385</v>
      </c>
      <c r="M843" s="414" t="s">
        <v>6530</v>
      </c>
      <c r="N843" s="572">
        <f>OBRA!AJ845</f>
        <v>45391</v>
      </c>
      <c r="O843" s="1618" t="s">
        <v>6478</v>
      </c>
      <c r="P843" s="1924">
        <v>0.41666666666666669</v>
      </c>
      <c r="Q843" s="414" t="s">
        <v>6530</v>
      </c>
      <c r="R843" s="206">
        <f>OBRA!AK845</f>
        <v>45393</v>
      </c>
      <c r="S843" s="1950" t="s">
        <v>6583</v>
      </c>
      <c r="T843" s="400" t="str">
        <f>OBRA!X845</f>
        <v>VICTOR SAUL RAMOS MORALES</v>
      </c>
      <c r="U843" s="409" t="str">
        <f>OBRA!Y845</f>
        <v>ING. LUIS RIGOBERTO OLMEDO NAVARRO</v>
      </c>
      <c r="V843" s="1111"/>
      <c r="W843" s="33" t="str">
        <f>OBRA!O845</f>
        <v>CSS-OP-CC-012/2024</v>
      </c>
      <c r="X843" s="1349" t="s">
        <v>6512</v>
      </c>
      <c r="Y843" s="1226" t="s">
        <v>6178</v>
      </c>
      <c r="Z843" s="411" t="str">
        <f>OBRA!N845</f>
        <v>CUENTA CORRIENTE</v>
      </c>
      <c r="AA843" s="410" t="s">
        <v>2323</v>
      </c>
      <c r="AB843" s="2" t="str">
        <f>OBRA!P845</f>
        <v>CONCURSO SIMPLIFICADO SUMARIO</v>
      </c>
      <c r="AC843" s="3" t="str">
        <f>OBRA!Q845</f>
        <v>"PERFORACIÓN DE UN POZO PROFUNDO A 250 ML EN CALLE MORELOS CRUCE CON C. GONZÁLEZ ORTEGA", EN LA CABECERA MUNICIPAL DE JOCOTEPEC, JALISCO</v>
      </c>
      <c r="AD843" s="4">
        <f>OBRA!S845</f>
        <v>4428068</v>
      </c>
      <c r="AE843" s="6">
        <f>OBRA!T845</f>
        <v>45394</v>
      </c>
      <c r="AF843" s="5">
        <f>OBRA!U845</f>
        <v>45414</v>
      </c>
      <c r="AG843" s="11">
        <f>OBRA!V845</f>
        <v>45458</v>
      </c>
      <c r="AH843" s="208" t="s">
        <v>4449</v>
      </c>
      <c r="AI843" s="500" t="s">
        <v>6512</v>
      </c>
      <c r="AJ843" s="220"/>
      <c r="AK843" s="414" t="s">
        <v>6530</v>
      </c>
      <c r="AL843" s="697" t="s">
        <v>6530</v>
      </c>
      <c r="AM843" s="521" t="str">
        <f>'ADMININSTRACIÓN DIR - OBRA'!B845</f>
        <v>2021-2024</v>
      </c>
      <c r="AN843" s="410"/>
      <c r="AO843" s="12"/>
    </row>
    <row r="844" spans="1:41" ht="30" hidden="1" customHeight="1">
      <c r="A844" s="158">
        <f>OBRA!K846</f>
        <v>2024</v>
      </c>
      <c r="B844" s="1731"/>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'ADMININSTRACIÓN DIR - OBRA'!B846</f>
        <v>2021-2024</v>
      </c>
      <c r="AN844" s="410"/>
      <c r="AO844" s="12"/>
    </row>
    <row r="845" spans="1:41" ht="30" hidden="1" customHeight="1">
      <c r="A845" s="158">
        <f>OBRA!K847</f>
        <v>2024</v>
      </c>
      <c r="B845" s="1731"/>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'ADMININSTRACIÓN DIR - OBRA'!B847</f>
        <v>2021-2024</v>
      </c>
      <c r="AN845" s="410"/>
      <c r="AO845" s="12"/>
    </row>
    <row r="846" spans="1:41" ht="30" hidden="1" customHeight="1">
      <c r="A846" s="158">
        <f>OBRA!K848</f>
        <v>2024</v>
      </c>
      <c r="B846" s="1731"/>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'ADMININSTRACIÓN DIR - OBRA'!B848</f>
        <v>2021-2024</v>
      </c>
      <c r="AN846" s="410"/>
      <c r="AO846" s="12"/>
    </row>
    <row r="847" spans="1:41" ht="30" hidden="1" customHeight="1">
      <c r="A847" s="158">
        <f>OBRA!K849</f>
        <v>2024</v>
      </c>
      <c r="B847" s="1731"/>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'ADMININSTRACIÓN DIR - OBRA'!B849</f>
        <v>2021-2024</v>
      </c>
      <c r="AN847" s="410"/>
      <c r="AO847" s="12"/>
    </row>
    <row r="848" spans="1:41" ht="30" hidden="1" customHeight="1">
      <c r="A848" s="158">
        <f>OBRA!K850</f>
        <v>2024</v>
      </c>
      <c r="B848" s="1731"/>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'ADMININSTRACIÓN DIR - OBRA'!B850</f>
        <v>2021-2024</v>
      </c>
      <c r="AN848" s="410"/>
      <c r="AO848" s="12"/>
    </row>
    <row r="849" spans="1:41" ht="30" hidden="1" customHeight="1">
      <c r="A849" s="158">
        <f>OBRA!K851</f>
        <v>2024</v>
      </c>
      <c r="B849" s="1731"/>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'ADMININSTRACIÓN DIR - OBRA'!B851</f>
        <v>2021-2024</v>
      </c>
      <c r="AN849" s="410"/>
      <c r="AO849" s="12"/>
    </row>
    <row r="850" spans="1:41" ht="30" hidden="1" customHeight="1">
      <c r="A850" s="158">
        <f>OBRA!K852</f>
        <v>2024</v>
      </c>
      <c r="B850" s="1731"/>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'ADMININSTRACIÓN DIR - OBRA'!B852</f>
        <v>2021-2024</v>
      </c>
      <c r="AN850" s="410"/>
      <c r="AO850" s="12"/>
    </row>
    <row r="851" spans="1:41" ht="30" hidden="1" customHeight="1">
      <c r="A851" s="158">
        <f>OBRA!K853</f>
        <v>2024</v>
      </c>
      <c r="B851" s="1731"/>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'ADMININSTRACIÓN DIR - OBRA'!B853</f>
        <v>2021-2024</v>
      </c>
      <c r="AN851" s="410"/>
      <c r="AO851" s="12"/>
    </row>
    <row r="852" spans="1:41" ht="30" hidden="1" customHeight="1">
      <c r="A852" s="158">
        <f>OBRA!K854</f>
        <v>2024</v>
      </c>
      <c r="B852" s="1731"/>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'ADMININSTRACIÓN DIR - OBRA'!B854</f>
        <v>2021-2024</v>
      </c>
      <c r="AN852" s="410"/>
      <c r="AO852" s="12"/>
    </row>
    <row r="853" spans="1:41" ht="30" hidden="1" customHeight="1">
      <c r="A853" s="158">
        <f>OBRA!K855</f>
        <v>2024</v>
      </c>
      <c r="B853" s="1731"/>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'ADMININSTRACIÓN DIR - OBRA'!B855</f>
        <v>2021-2024</v>
      </c>
      <c r="AN853" s="410"/>
      <c r="AO853" s="12"/>
    </row>
    <row r="854" spans="1:41" ht="30" hidden="1" customHeight="1">
      <c r="A854" s="158">
        <f>OBRA!K856</f>
        <v>2024</v>
      </c>
      <c r="B854" s="1731"/>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'ADMININSTRACIÓN DIR - OBRA'!B856</f>
        <v>2021-2024</v>
      </c>
      <c r="AN854" s="410"/>
      <c r="AO854" s="12"/>
    </row>
    <row r="855" spans="1:41" ht="30" hidden="1" customHeight="1">
      <c r="A855" s="158">
        <f>OBRA!K857</f>
        <v>2024</v>
      </c>
      <c r="B855" s="1731"/>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'ADMININSTRACIÓN DIR - OBRA'!B857</f>
        <v>2021-2024</v>
      </c>
      <c r="AN855" s="410"/>
      <c r="AO855" s="12"/>
    </row>
    <row r="856" spans="1:41" ht="30" hidden="1" customHeight="1">
      <c r="A856" s="158">
        <f>OBRA!K858</f>
        <v>2024</v>
      </c>
      <c r="B856" s="1731"/>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'ADMININSTRACIÓN DIR - OBRA'!B858</f>
        <v>2021-2024</v>
      </c>
      <c r="AN856" s="410"/>
      <c r="AO856" s="12"/>
    </row>
    <row r="857" spans="1:41" ht="30" hidden="1" customHeight="1">
      <c r="A857" s="158">
        <f>OBRA!K859</f>
        <v>2024</v>
      </c>
      <c r="B857" s="1731"/>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'ADMININSTRACIÓN DIR - OBRA'!B859</f>
        <v>2021-2024</v>
      </c>
      <c r="AN857" s="410"/>
      <c r="AO857" s="12"/>
    </row>
    <row r="858" spans="1:41" ht="30" hidden="1" customHeight="1">
      <c r="A858" s="158">
        <f>OBRA!K860</f>
        <v>2024</v>
      </c>
      <c r="B858" s="1731"/>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'ADMININSTRACIÓN DIR - OBRA'!B860</f>
        <v>2021-2024</v>
      </c>
      <c r="AN858" s="410"/>
      <c r="AO858" s="12"/>
    </row>
    <row r="859" spans="1:41" ht="30" hidden="1" customHeight="1">
      <c r="A859" s="158">
        <f>OBRA!K861</f>
        <v>2024</v>
      </c>
      <c r="B859" s="1731"/>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'ADMININSTRACIÓN DIR - OBRA'!B861</f>
        <v>2021-2024</v>
      </c>
      <c r="AN859" s="410"/>
      <c r="AO859" s="12"/>
    </row>
    <row r="860" spans="1:41" ht="30" hidden="1" customHeight="1">
      <c r="A860" s="158">
        <f>OBRA!K862</f>
        <v>2024</v>
      </c>
      <c r="B860" s="1731"/>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'ADMININSTRACIÓN DIR - OBRA'!B862</f>
        <v>2021-2024</v>
      </c>
      <c r="AN860" s="410"/>
      <c r="AO860" s="12"/>
    </row>
    <row r="861" spans="1:41" ht="30" hidden="1" customHeight="1">
      <c r="A861" s="158">
        <f>OBRA!K863</f>
        <v>2024</v>
      </c>
      <c r="B861" s="1731"/>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'ADMININSTRACIÓN DIR - OBRA'!B863</f>
        <v>2021-2024</v>
      </c>
      <c r="AN861" s="410"/>
      <c r="AO861" s="12"/>
    </row>
    <row r="862" spans="1:41" ht="30" hidden="1" customHeight="1">
      <c r="A862" s="158">
        <f>OBRA!K864</f>
        <v>2024</v>
      </c>
      <c r="B862" s="1731"/>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'ADMININSTRACIÓN DIR - OBRA'!B864</f>
        <v>2021-2024</v>
      </c>
      <c r="AN862" s="410"/>
      <c r="AO862" s="12"/>
    </row>
    <row r="863" spans="1:41" ht="30" hidden="1" customHeight="1">
      <c r="A863" s="158">
        <f>OBRA!K865</f>
        <v>2024</v>
      </c>
      <c r="B863" s="1731"/>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'ADMININSTRACIÓN DIR - OBRA'!B865</f>
        <v>2021-2024</v>
      </c>
      <c r="AN863" s="410"/>
      <c r="AO863" s="12"/>
    </row>
    <row r="864" spans="1:41" ht="30" hidden="1" customHeight="1">
      <c r="A864" s="158">
        <f>OBRA!K866</f>
        <v>2024</v>
      </c>
      <c r="B864" s="1731"/>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'ADMININSTRACIÓN DIR - OBRA'!B866</f>
        <v>2021-2024</v>
      </c>
      <c r="AN864" s="410"/>
      <c r="AO864" s="12"/>
    </row>
    <row r="865" spans="1:41" ht="30" hidden="1" customHeight="1">
      <c r="A865" s="158">
        <f>OBRA!K867</f>
        <v>2024</v>
      </c>
      <c r="B865" s="1731"/>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'ADMININSTRACIÓN DIR - OBRA'!B867</f>
        <v>2021-2024</v>
      </c>
      <c r="AN865" s="410"/>
      <c r="AO865" s="12"/>
    </row>
    <row r="866" spans="1:41" ht="30" hidden="1" customHeight="1">
      <c r="A866" s="158">
        <f>OBRA!K868</f>
        <v>2024</v>
      </c>
      <c r="B866" s="1731"/>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'ADMININSTRACIÓN DIR - OBRA'!B868</f>
        <v>2021-2024</v>
      </c>
      <c r="AN866" s="410"/>
      <c r="AO866" s="12"/>
    </row>
    <row r="867" spans="1:41" ht="30" hidden="1" customHeight="1">
      <c r="A867" s="158">
        <f>OBRA!K869</f>
        <v>2024</v>
      </c>
      <c r="B867" s="1731"/>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'ADMININSTRACIÓN DIR - OBRA'!B869</f>
        <v>2021-2024</v>
      </c>
      <c r="AN867" s="410"/>
      <c r="AO867" s="12"/>
    </row>
    <row r="868" spans="1:41" ht="30" hidden="1" customHeight="1">
      <c r="A868" s="158">
        <f>OBRA!K870</f>
        <v>2024</v>
      </c>
      <c r="B868" s="1731"/>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'ADMININSTRACIÓN DIR - OBRA'!B870</f>
        <v>2021-2024</v>
      </c>
      <c r="AN868" s="410"/>
      <c r="AO868" s="12"/>
    </row>
    <row r="869" spans="1:41" ht="30" hidden="1" customHeight="1">
      <c r="A869" s="158">
        <f>OBRA!K871</f>
        <v>2025</v>
      </c>
      <c r="B869" s="1731"/>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'ADMININSTRACIÓN DIR - OBRA'!B871</f>
        <v>2021-2024</v>
      </c>
      <c r="AN869" s="410"/>
      <c r="AO869" s="12"/>
    </row>
    <row r="870" spans="1:41" ht="30" hidden="1" customHeight="1">
      <c r="A870" s="158">
        <f>OBRA!K872</f>
        <v>2025</v>
      </c>
      <c r="B870" s="1731"/>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'ADMININSTRACIÓN DIR - OBRA'!B872</f>
        <v>2021-2024</v>
      </c>
      <c r="AN870" s="410"/>
      <c r="AO870" s="12"/>
    </row>
    <row r="871" spans="1:41" ht="30" hidden="1" customHeight="1">
      <c r="A871" s="158">
        <f>OBRA!K873</f>
        <v>2025</v>
      </c>
      <c r="B871" s="1731"/>
      <c r="C871" s="1389"/>
      <c r="D871" s="163"/>
      <c r="E871" s="1193"/>
      <c r="F871" s="1193"/>
      <c r="G871" s="1208"/>
      <c r="H871" s="1209" t="str">
        <f>OBRA!AG873</f>
        <v>-</v>
      </c>
      <c r="I871" s="1210"/>
      <c r="J871" s="1390" t="str">
        <f>OBRA!AH873</f>
        <v>-</v>
      </c>
      <c r="K871" s="1211"/>
      <c r="L871" s="1209" t="str">
        <f>OBRA!AI873</f>
        <v>-</v>
      </c>
      <c r="M871" s="1212"/>
      <c r="N871" s="1209" t="str">
        <f>OBRA!AJ873</f>
        <v>-</v>
      </c>
      <c r="O871" s="1209"/>
      <c r="P871" s="1209"/>
      <c r="Q871" s="1211"/>
      <c r="R871" s="438" t="str">
        <f>OBRA!AK873</f>
        <v>-</v>
      </c>
      <c r="S871" s="538"/>
      <c r="T871" s="400" t="str">
        <f>OBRA!X873</f>
        <v>-</v>
      </c>
      <c r="U871" s="409">
        <f>OBRA!Y873</f>
        <v>0</v>
      </c>
      <c r="V871" s="1111"/>
      <c r="W871" s="19" t="str">
        <f>OBRA!O873</f>
        <v>DOP/AD/001/2025</v>
      </c>
      <c r="X871" s="1431"/>
      <c r="Y871" s="1431"/>
      <c r="Z871" s="410">
        <f>OBRA!N873</f>
        <v>0</v>
      </c>
      <c r="AA871" s="1431"/>
      <c r="AB871" s="2" t="str">
        <f>OBRA!P873</f>
        <v>ADMINISTRACIÓN DIRECTA</v>
      </c>
      <c r="AC871" s="3">
        <f>OBRA!Q873</f>
        <v>0</v>
      </c>
      <c r="AD871" s="4">
        <f>OBRA!S873</f>
        <v>0</v>
      </c>
      <c r="AE871" s="6">
        <f>OBRA!T873</f>
        <v>0</v>
      </c>
      <c r="AF871" s="5">
        <f>OBRA!U873</f>
        <v>0</v>
      </c>
      <c r="AG871" s="391">
        <f>OBRA!V873</f>
        <v>0</v>
      </c>
      <c r="AH871" s="890"/>
      <c r="AI871" s="161"/>
      <c r="AJ871" s="220"/>
      <c r="AK871" s="220"/>
      <c r="AL871" s="623"/>
      <c r="AM871" s="521" t="str">
        <f>'ADMININSTRACIÓN DIR - OBRA'!B873</f>
        <v>2024-2027</v>
      </c>
      <c r="AN871" s="410"/>
      <c r="AO871" s="12"/>
    </row>
    <row r="872" spans="1:41" ht="30" hidden="1" customHeight="1">
      <c r="A872" s="158">
        <f>OBRA!K874</f>
        <v>2025</v>
      </c>
      <c r="B872" s="1731"/>
      <c r="C872" s="1389"/>
      <c r="D872" s="163"/>
      <c r="E872" s="1193"/>
      <c r="F872" s="1193"/>
      <c r="G872" s="1208"/>
      <c r="H872" s="1209" t="str">
        <f>OBRA!AG874</f>
        <v>-</v>
      </c>
      <c r="I872" s="1210"/>
      <c r="J872" s="1390" t="str">
        <f>OBRA!AH874</f>
        <v>-</v>
      </c>
      <c r="K872" s="1211"/>
      <c r="L872" s="1209" t="str">
        <f>OBRA!AI874</f>
        <v>-</v>
      </c>
      <c r="M872" s="1212"/>
      <c r="N872" s="1209" t="str">
        <f>OBRA!AJ874</f>
        <v>-</v>
      </c>
      <c r="O872" s="1209"/>
      <c r="P872" s="1209"/>
      <c r="Q872" s="1211"/>
      <c r="R872" s="438" t="str">
        <f>OBRA!AK874</f>
        <v>-</v>
      </c>
      <c r="S872" s="538"/>
      <c r="T872" s="400" t="str">
        <f>OBRA!X874</f>
        <v>-</v>
      </c>
      <c r="U872" s="409">
        <f>OBRA!Y874</f>
        <v>0</v>
      </c>
      <c r="V872" s="1111"/>
      <c r="W872" s="19" t="str">
        <f>OBRA!O874</f>
        <v>DOP/AD/002/2025</v>
      </c>
      <c r="X872" s="1431"/>
      <c r="Y872" s="1431"/>
      <c r="Z872" s="410">
        <f>OBRA!N874</f>
        <v>0</v>
      </c>
      <c r="AA872" s="1431"/>
      <c r="AB872" s="2" t="str">
        <f>OBRA!P874</f>
        <v>ADMINISTRACIÓN DIRECTA</v>
      </c>
      <c r="AC872" s="3">
        <f>OBRA!Q874</f>
        <v>0</v>
      </c>
      <c r="AD872" s="4">
        <f>OBRA!S874</f>
        <v>0</v>
      </c>
      <c r="AE872" s="6">
        <f>OBRA!T874</f>
        <v>0</v>
      </c>
      <c r="AF872" s="5">
        <f>OBRA!U874</f>
        <v>0</v>
      </c>
      <c r="AG872" s="391">
        <f>OBRA!V874</f>
        <v>0</v>
      </c>
      <c r="AH872" s="890"/>
      <c r="AI872" s="161"/>
      <c r="AJ872" s="220"/>
      <c r="AK872" s="220"/>
      <c r="AL872" s="623"/>
      <c r="AM872" s="521" t="str">
        <f>'ADMININSTRACIÓN DIR - OBRA'!B874</f>
        <v>2024-2027</v>
      </c>
      <c r="AN872" s="410"/>
      <c r="AO872" s="12"/>
    </row>
    <row r="873" spans="1:41" ht="30" hidden="1" customHeight="1">
      <c r="A873" s="158">
        <f>OBRA!K875</f>
        <v>2025</v>
      </c>
      <c r="B873" s="1731"/>
      <c r="C873" s="1389"/>
      <c r="D873" s="163"/>
      <c r="E873" s="1193"/>
      <c r="F873" s="1193"/>
      <c r="G873" s="1208"/>
      <c r="H873" s="1209" t="str">
        <f>OBRA!AG875</f>
        <v>-</v>
      </c>
      <c r="I873" s="1210"/>
      <c r="J873" s="1390" t="str">
        <f>OBRA!AH875</f>
        <v>-</v>
      </c>
      <c r="K873" s="1211"/>
      <c r="L873" s="1209" t="str">
        <f>OBRA!AI875</f>
        <v>-</v>
      </c>
      <c r="M873" s="1212"/>
      <c r="N873" s="1209" t="str">
        <f>OBRA!AJ875</f>
        <v>-</v>
      </c>
      <c r="O873" s="1209"/>
      <c r="P873" s="1209"/>
      <c r="Q873" s="1211"/>
      <c r="R873" s="438" t="str">
        <f>OBRA!AK875</f>
        <v>-</v>
      </c>
      <c r="S873" s="538"/>
      <c r="T873" s="400" t="str">
        <f>OBRA!X875</f>
        <v>-</v>
      </c>
      <c r="U873" s="409">
        <f>OBRA!Y875</f>
        <v>0</v>
      </c>
      <c r="V873" s="1111"/>
      <c r="W873" s="19" t="str">
        <f>OBRA!O875</f>
        <v>DOP/AD/003/2025</v>
      </c>
      <c r="X873" s="1431"/>
      <c r="Y873" s="1431"/>
      <c r="Z873" s="410">
        <f>OBRA!N875</f>
        <v>0</v>
      </c>
      <c r="AA873" s="1431"/>
      <c r="AB873" s="2" t="str">
        <f>OBRA!P875</f>
        <v>ADMINISTRACIÓN DIRECTA</v>
      </c>
      <c r="AC873" s="3">
        <f>OBRA!Q875</f>
        <v>0</v>
      </c>
      <c r="AD873" s="4">
        <f>OBRA!S875</f>
        <v>0</v>
      </c>
      <c r="AE873" s="6">
        <f>OBRA!T875</f>
        <v>0</v>
      </c>
      <c r="AF873" s="5">
        <f>OBRA!U875</f>
        <v>0</v>
      </c>
      <c r="AG873" s="391">
        <f>OBRA!V875</f>
        <v>0</v>
      </c>
      <c r="AH873" s="890"/>
      <c r="AI873" s="161"/>
      <c r="AJ873" s="220"/>
      <c r="AK873" s="220"/>
      <c r="AL873" s="623"/>
      <c r="AM873" s="521" t="str">
        <f>'ADMININSTRACIÓN DIR - OBRA'!B875</f>
        <v>2024-2027</v>
      </c>
      <c r="AN873" s="410"/>
      <c r="AO873" s="12"/>
    </row>
    <row r="874" spans="1:41" ht="30" hidden="1" customHeight="1">
      <c r="A874" s="158">
        <f>OBRA!K876</f>
        <v>2025</v>
      </c>
      <c r="B874" s="1731"/>
      <c r="C874" s="1389"/>
      <c r="D874" s="163"/>
      <c r="E874" s="1193"/>
      <c r="F874" s="1193"/>
      <c r="G874" s="1208"/>
      <c r="H874" s="1209" t="str">
        <f>OBRA!AG876</f>
        <v>-</v>
      </c>
      <c r="I874" s="1210"/>
      <c r="J874" s="1390" t="str">
        <f>OBRA!AH876</f>
        <v>-</v>
      </c>
      <c r="K874" s="1211"/>
      <c r="L874" s="1209" t="str">
        <f>OBRA!AI876</f>
        <v>-</v>
      </c>
      <c r="M874" s="1212"/>
      <c r="N874" s="1209" t="str">
        <f>OBRA!AJ876</f>
        <v>-</v>
      </c>
      <c r="O874" s="1209"/>
      <c r="P874" s="1209"/>
      <c r="Q874" s="1211"/>
      <c r="R874" s="438" t="str">
        <f>OBRA!AK876</f>
        <v>-</v>
      </c>
      <c r="S874" s="538"/>
      <c r="T874" s="400" t="str">
        <f>OBRA!X876</f>
        <v>-</v>
      </c>
      <c r="U874" s="409">
        <f>OBRA!Y876</f>
        <v>0</v>
      </c>
      <c r="V874" s="1111"/>
      <c r="W874" s="19" t="str">
        <f>OBRA!O876</f>
        <v>DOP/AD/004/2025</v>
      </c>
      <c r="X874" s="1431"/>
      <c r="Y874" s="1431"/>
      <c r="Z874" s="410">
        <f>OBRA!N876</f>
        <v>0</v>
      </c>
      <c r="AA874" s="1431"/>
      <c r="AB874" s="2" t="str">
        <f>OBRA!P876</f>
        <v>ADMINISTRACIÓN DIRECTA</v>
      </c>
      <c r="AC874" s="3">
        <f>OBRA!Q876</f>
        <v>0</v>
      </c>
      <c r="AD874" s="4">
        <f>OBRA!S876</f>
        <v>0</v>
      </c>
      <c r="AE874" s="6">
        <f>OBRA!T876</f>
        <v>0</v>
      </c>
      <c r="AF874" s="5">
        <f>OBRA!U876</f>
        <v>0</v>
      </c>
      <c r="AG874" s="391">
        <f>OBRA!V876</f>
        <v>0</v>
      </c>
      <c r="AH874" s="890"/>
      <c r="AI874" s="161"/>
      <c r="AJ874" s="220"/>
      <c r="AK874" s="220"/>
      <c r="AL874" s="623"/>
      <c r="AM874" s="521" t="str">
        <f>'ADMININSTRACIÓN DIR - OBRA'!B876</f>
        <v>2024-2027</v>
      </c>
      <c r="AN874" s="410"/>
      <c r="AO874" s="12"/>
    </row>
    <row r="875" spans="1:41" ht="30" hidden="1" customHeight="1">
      <c r="A875" s="158">
        <f>OBRA!K877</f>
        <v>2025</v>
      </c>
      <c r="B875" s="1731"/>
      <c r="C875" s="1389"/>
      <c r="D875" s="163"/>
      <c r="E875" s="1193"/>
      <c r="F875" s="1193"/>
      <c r="G875" s="1208"/>
      <c r="H875" s="1209" t="str">
        <f>OBRA!AG877</f>
        <v>-</v>
      </c>
      <c r="I875" s="1210"/>
      <c r="J875" s="1390" t="str">
        <f>OBRA!AH877</f>
        <v>-</v>
      </c>
      <c r="K875" s="1211"/>
      <c r="L875" s="1209" t="str">
        <f>OBRA!AI877</f>
        <v>-</v>
      </c>
      <c r="M875" s="1212"/>
      <c r="N875" s="1209" t="str">
        <f>OBRA!AJ877</f>
        <v>-</v>
      </c>
      <c r="O875" s="1209"/>
      <c r="P875" s="1209"/>
      <c r="Q875" s="1211"/>
      <c r="R875" s="438" t="str">
        <f>OBRA!AK877</f>
        <v>-</v>
      </c>
      <c r="S875" s="538"/>
      <c r="T875" s="400" t="str">
        <f>OBRA!X877</f>
        <v>-</v>
      </c>
      <c r="U875" s="409">
        <f>OBRA!Y877</f>
        <v>0</v>
      </c>
      <c r="V875" s="1111"/>
      <c r="W875" s="19" t="str">
        <f>OBRA!O877</f>
        <v>DOP/AD/005/2025</v>
      </c>
      <c r="X875" s="1431"/>
      <c r="Y875" s="1431"/>
      <c r="Z875" s="410">
        <f>OBRA!N877</f>
        <v>0</v>
      </c>
      <c r="AA875" s="1431"/>
      <c r="AB875" s="2" t="str">
        <f>OBRA!P877</f>
        <v>ADMINISTRACIÓN DIRECTA</v>
      </c>
      <c r="AC875" s="3">
        <f>OBRA!Q877</f>
        <v>0</v>
      </c>
      <c r="AD875" s="4">
        <f>OBRA!S877</f>
        <v>0</v>
      </c>
      <c r="AE875" s="6">
        <f>OBRA!T877</f>
        <v>0</v>
      </c>
      <c r="AF875" s="5">
        <f>OBRA!U877</f>
        <v>0</v>
      </c>
      <c r="AG875" s="391">
        <f>OBRA!V877</f>
        <v>0</v>
      </c>
      <c r="AH875" s="890"/>
      <c r="AI875" s="161"/>
      <c r="AJ875" s="220"/>
      <c r="AK875" s="220"/>
      <c r="AL875" s="623"/>
      <c r="AM875" s="521" t="str">
        <f>'ADMININSTRACIÓN DIR - OBRA'!B877</f>
        <v>2024-2027</v>
      </c>
      <c r="AN875" s="410"/>
      <c r="AO875" s="12"/>
    </row>
    <row r="876" spans="1:41" ht="30" hidden="1" customHeight="1">
      <c r="A876" s="158">
        <f>OBRA!K878</f>
        <v>2025</v>
      </c>
      <c r="B876" s="1731"/>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t="str">
        <f>OBRA!X878</f>
        <v>MATERIALES Y OBRAS KORAK, S.A. DE C.V.</v>
      </c>
      <c r="U876" s="409">
        <f>OBRA!Y878</f>
        <v>0</v>
      </c>
      <c r="V876" s="1111"/>
      <c r="W876" s="19" t="str">
        <f>OBRA!O878</f>
        <v>GMJ 001C OP/2025</v>
      </c>
      <c r="X876" s="1431"/>
      <c r="Y876" s="1431"/>
      <c r="Z876" s="410" t="str">
        <f>OBRA!N878</f>
        <v>CUENTA CORRIENTE</v>
      </c>
      <c r="AA876" s="1431"/>
      <c r="AB876" s="2" t="str">
        <f>OBRA!P878</f>
        <v>ADJUDICACIÓN DIRECTA</v>
      </c>
      <c r="AC876" s="3" t="str">
        <f>OBRA!Q878</f>
        <v>"REHABILITACIÓN DE REDES HIDROSANITARIAS Y SUPERFICIE DE RODAMIENTO, EN PRIV. ANIMA SOLA", EN LA CABECERA MUNICIPAL DE JOCOTEPEC, JALISCO.</v>
      </c>
      <c r="AD876" s="4">
        <f>OBRA!S878</f>
        <v>601216.35</v>
      </c>
      <c r="AE876" s="6">
        <f>OBRA!T878</f>
        <v>45762</v>
      </c>
      <c r="AF876" s="5">
        <f>OBRA!U878</f>
        <v>45807</v>
      </c>
      <c r="AG876" s="391">
        <f>OBRA!V878</f>
        <v>45749</v>
      </c>
      <c r="AH876" s="890"/>
      <c r="AI876" s="161"/>
      <c r="AJ876" s="220"/>
      <c r="AK876" s="220"/>
      <c r="AL876" s="623"/>
      <c r="AM876" s="521" t="str">
        <f>'ADMININSTRACIÓN DIR - OBRA'!B878</f>
        <v>2024-2027</v>
      </c>
      <c r="AN876" s="410"/>
      <c r="AO876" s="12"/>
    </row>
    <row r="877" spans="1:41" ht="30" hidden="1" customHeight="1">
      <c r="A877" s="158">
        <f>OBRA!K879</f>
        <v>2025</v>
      </c>
      <c r="B877" s="1731"/>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GMJ 002C OP/2025</v>
      </c>
      <c r="X877" s="1431"/>
      <c r="Y877" s="1431"/>
      <c r="Z877" s="410">
        <f>OBRA!N879</f>
        <v>0</v>
      </c>
      <c r="AA877" s="1431"/>
      <c r="AB877" s="2" t="str">
        <f>OBRA!P879</f>
        <v>CONTRATO</v>
      </c>
      <c r="AC877" s="3">
        <f>OBRA!Q879</f>
        <v>0</v>
      </c>
      <c r="AD877" s="4">
        <f>OBRA!S879</f>
        <v>0</v>
      </c>
      <c r="AE877" s="6">
        <f>OBRA!T879</f>
        <v>0</v>
      </c>
      <c r="AF877" s="5">
        <f>OBRA!U879</f>
        <v>0</v>
      </c>
      <c r="AG877" s="391">
        <f>OBRA!V879</f>
        <v>0</v>
      </c>
      <c r="AH877" s="890"/>
      <c r="AI877" s="161"/>
      <c r="AJ877" s="220"/>
      <c r="AK877" s="220"/>
      <c r="AL877" s="623"/>
      <c r="AM877" s="521" t="str">
        <f>'ADMININSTRACIÓN DIR - OBRA'!B879</f>
        <v>2024-2027</v>
      </c>
      <c r="AN877" s="410"/>
      <c r="AO877" s="12"/>
    </row>
    <row r="878" spans="1:41" ht="30" hidden="1" customHeight="1">
      <c r="A878" s="158">
        <f>OBRA!K880</f>
        <v>2025</v>
      </c>
      <c r="B878" s="1731"/>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t="str">
        <f>OBRA!X880</f>
        <v>MATERIALES Y OBRAS KORAK, S.A. DE C.V.</v>
      </c>
      <c r="U878" s="409" t="str">
        <f>OBRA!Y880</f>
        <v>ING. ROMÁN RODRÍGUEZ SOLANO</v>
      </c>
      <c r="V878" s="1111"/>
      <c r="W878" s="19" t="str">
        <f>OBRA!O880</f>
        <v>GMJ 003C- OP/2025</v>
      </c>
      <c r="X878" s="1431"/>
      <c r="Y878" s="1431"/>
      <c r="Z878" s="410" t="str">
        <f>OBRA!N880</f>
        <v>RAMO 33</v>
      </c>
      <c r="AA878" s="1431"/>
      <c r="AB878" s="2" t="str">
        <f>OBRA!P880</f>
        <v>ADJUDICACIÓN DIRECTA</v>
      </c>
      <c r="AC878" s="3" t="str">
        <f>OBRA!Q880</f>
        <v>"CONSTRUCCIÓN DE SUPERFICIE DE RODAMIENTO EN CALLE BERNARDO QUINTANA DE AV. DEL TRABAJO A C. CERRADA EN LA LOCALIDAD DE ZAPOTITÁN DE HIDALGO, MUNICIPIO DE JOCOTEPEC, JALISCO.</v>
      </c>
      <c r="AD878" s="4">
        <f>OBRA!S880</f>
        <v>1338681.9099999999</v>
      </c>
      <c r="AE878" s="6">
        <f>OBRA!T880</f>
        <v>45761</v>
      </c>
      <c r="AF878" s="5">
        <f>OBRA!U880</f>
        <v>45768</v>
      </c>
      <c r="AG878" s="391">
        <f>OBRA!V880</f>
        <v>45809</v>
      </c>
      <c r="AH878" s="890"/>
      <c r="AI878" s="161"/>
      <c r="AJ878" s="220"/>
      <c r="AK878" s="220"/>
      <c r="AL878" s="623"/>
      <c r="AM878" s="521" t="str">
        <f>'ADMININSTRACIÓN DIR - OBRA'!B880</f>
        <v>2024-2027</v>
      </c>
      <c r="AN878" s="410"/>
      <c r="AO878" s="12"/>
    </row>
    <row r="879" spans="1:41" ht="30" hidden="1" customHeight="1">
      <c r="A879" s="158">
        <f>OBRA!K881</f>
        <v>2025</v>
      </c>
      <c r="B879" s="1731"/>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GMJ 004C OP/2025</v>
      </c>
      <c r="X879" s="1431"/>
      <c r="Y879" s="1431"/>
      <c r="Z879" s="410">
        <f>OBRA!N881</f>
        <v>0</v>
      </c>
      <c r="AA879" s="1431"/>
      <c r="AB879" s="2" t="str">
        <f>OBRA!P881</f>
        <v>CONTRATO</v>
      </c>
      <c r="AC879" s="3">
        <f>OBRA!Q881</f>
        <v>0</v>
      </c>
      <c r="AD879" s="4">
        <f>OBRA!S881</f>
        <v>0</v>
      </c>
      <c r="AE879" s="6">
        <f>OBRA!T881</f>
        <v>0</v>
      </c>
      <c r="AF879" s="5">
        <f>OBRA!U881</f>
        <v>0</v>
      </c>
      <c r="AG879" s="391">
        <f>OBRA!V881</f>
        <v>0</v>
      </c>
      <c r="AH879" s="890"/>
      <c r="AI879" s="161"/>
      <c r="AJ879" s="220"/>
      <c r="AK879" s="220"/>
      <c r="AL879" s="623"/>
      <c r="AM879" s="521" t="str">
        <f>'ADMININSTRACIÓN DIR - OBRA'!B881</f>
        <v>2024-2027</v>
      </c>
      <c r="AN879" s="410"/>
      <c r="AO879" s="12"/>
    </row>
    <row r="880" spans="1:41" ht="30" hidden="1" customHeight="1">
      <c r="A880" s="158">
        <f>OBRA!K882</f>
        <v>2025</v>
      </c>
      <c r="B880" s="1731"/>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GMJ 005C OP/2025</v>
      </c>
      <c r="X880" s="1431"/>
      <c r="Y880" s="1431"/>
      <c r="Z880" s="410">
        <f>OBRA!N882</f>
        <v>0</v>
      </c>
      <c r="AA880" s="1431"/>
      <c r="AB880" s="2" t="str">
        <f>OBRA!P882</f>
        <v>CONTRATO</v>
      </c>
      <c r="AC880" s="3">
        <f>OBRA!Q882</f>
        <v>0</v>
      </c>
      <c r="AD880" s="4">
        <f>OBRA!S882</f>
        <v>0</v>
      </c>
      <c r="AE880" s="6">
        <f>OBRA!T882</f>
        <v>0</v>
      </c>
      <c r="AF880" s="5">
        <f>OBRA!U882</f>
        <v>0</v>
      </c>
      <c r="AG880" s="391">
        <f>OBRA!V882</f>
        <v>0</v>
      </c>
      <c r="AH880" s="890"/>
      <c r="AI880" s="161"/>
      <c r="AJ880" s="220"/>
      <c r="AK880" s="220"/>
      <c r="AL880" s="623"/>
      <c r="AM880" s="521" t="str">
        <f>'ADMININSTRACIÓN DIR - OBRA'!B882</f>
        <v>2024-2027</v>
      </c>
      <c r="AN880" s="410"/>
      <c r="AO880" s="12"/>
    </row>
    <row r="881" spans="1:41" ht="30" hidden="1" customHeight="1">
      <c r="A881" s="158">
        <f>OBRA!K883</f>
        <v>2025</v>
      </c>
      <c r="B881" s="1731"/>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f>OBRA!X883</f>
        <v>0</v>
      </c>
      <c r="U881" s="409">
        <f>OBRA!Y883</f>
        <v>0</v>
      </c>
      <c r="V881" s="1111"/>
      <c r="W881" s="19" t="str">
        <f>OBRA!O883</f>
        <v>GMJ 006C OP/2025</v>
      </c>
      <c r="X881" s="1431"/>
      <c r="Y881" s="1431"/>
      <c r="Z881" s="410">
        <f>OBRA!N883</f>
        <v>0</v>
      </c>
      <c r="AA881" s="1431"/>
      <c r="AB881" s="2" t="str">
        <f>OBRA!P883</f>
        <v>CONTRATO</v>
      </c>
      <c r="AC881" s="3">
        <f>OBRA!Q883</f>
        <v>0</v>
      </c>
      <c r="AD881" s="4">
        <f>OBRA!S883</f>
        <v>0</v>
      </c>
      <c r="AE881" s="6">
        <f>OBRA!T883</f>
        <v>0</v>
      </c>
      <c r="AF881" s="5">
        <f>OBRA!U883</f>
        <v>0</v>
      </c>
      <c r="AG881" s="391">
        <f>OBRA!V883</f>
        <v>0</v>
      </c>
      <c r="AH881" s="890"/>
      <c r="AI881" s="161"/>
      <c r="AJ881" s="220"/>
      <c r="AK881" s="220"/>
      <c r="AL881" s="623"/>
      <c r="AM881" s="521" t="str">
        <f>'ADMININSTRACIÓN DIR - OBRA'!B883</f>
        <v>2024-2027</v>
      </c>
      <c r="AN881" s="410"/>
      <c r="AO881" s="12"/>
    </row>
    <row r="882" spans="1:41" ht="30" hidden="1" customHeight="1">
      <c r="A882" s="158">
        <f>OBRA!K884</f>
        <v>2025</v>
      </c>
      <c r="B882" s="1731"/>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f>OBRA!X884</f>
        <v>0</v>
      </c>
      <c r="U882" s="409">
        <f>OBRA!Y884</f>
        <v>0</v>
      </c>
      <c r="V882" s="1111"/>
      <c r="W882" s="19" t="str">
        <f>OBRA!O884</f>
        <v>GMJ 007C OP/2025</v>
      </c>
      <c r="X882" s="1431"/>
      <c r="Y882" s="1431"/>
      <c r="Z882" s="410">
        <f>OBRA!N884</f>
        <v>0</v>
      </c>
      <c r="AA882" s="1431"/>
      <c r="AB882" s="2" t="str">
        <f>OBRA!P884</f>
        <v>CONTRATO</v>
      </c>
      <c r="AC882" s="3">
        <f>OBRA!Q884</f>
        <v>0</v>
      </c>
      <c r="AD882" s="4">
        <f>OBRA!S884</f>
        <v>0</v>
      </c>
      <c r="AE882" s="6">
        <f>OBRA!T884</f>
        <v>0</v>
      </c>
      <c r="AF882" s="5">
        <f>OBRA!U884</f>
        <v>0</v>
      </c>
      <c r="AG882" s="391">
        <f>OBRA!V884</f>
        <v>0</v>
      </c>
      <c r="AH882" s="890"/>
      <c r="AI882" s="161"/>
      <c r="AJ882" s="220"/>
      <c r="AK882" s="220"/>
      <c r="AL882" s="623"/>
      <c r="AM882" s="521" t="str">
        <f>'ADMININSTRACIÓN DIR - OBRA'!B884</f>
        <v>2024-2027</v>
      </c>
      <c r="AN882" s="410"/>
      <c r="AO882" s="12"/>
    </row>
    <row r="883" spans="1:41" ht="30" hidden="1" customHeight="1">
      <c r="A883" s="158">
        <f>OBRA!K885</f>
        <v>2025</v>
      </c>
      <c r="B883" s="1731"/>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f>OBRA!X885</f>
        <v>0</v>
      </c>
      <c r="U883" s="409">
        <f>OBRA!Y885</f>
        <v>0</v>
      </c>
      <c r="V883" s="1111"/>
      <c r="W883" s="19" t="str">
        <f>OBRA!O885</f>
        <v>GMJ 008C OP/2025</v>
      </c>
      <c r="X883" s="1431"/>
      <c r="Y883" s="1431"/>
      <c r="Z883" s="410">
        <f>OBRA!N885</f>
        <v>0</v>
      </c>
      <c r="AA883" s="1431"/>
      <c r="AB883" s="2" t="str">
        <f>OBRA!P885</f>
        <v>CONTRATO</v>
      </c>
      <c r="AC883" s="3">
        <f>OBRA!Q885</f>
        <v>0</v>
      </c>
      <c r="AD883" s="4">
        <f>OBRA!S885</f>
        <v>0</v>
      </c>
      <c r="AE883" s="6">
        <f>OBRA!T885</f>
        <v>0</v>
      </c>
      <c r="AF883" s="5">
        <f>OBRA!U885</f>
        <v>0</v>
      </c>
      <c r="AG883" s="391">
        <f>OBRA!V885</f>
        <v>0</v>
      </c>
      <c r="AH883" s="890"/>
      <c r="AI883" s="161"/>
      <c r="AJ883" s="220"/>
      <c r="AK883" s="220"/>
      <c r="AL883" s="623"/>
      <c r="AM883" s="521" t="str">
        <f>'ADMININSTRACIÓN DIR - OBRA'!B885</f>
        <v>2024-2027</v>
      </c>
      <c r="AN883" s="410"/>
      <c r="AO883" s="12"/>
    </row>
    <row r="884" spans="1:41" ht="30" hidden="1" customHeight="1">
      <c r="A884" s="158">
        <f>OBRA!K886</f>
        <v>2025</v>
      </c>
      <c r="B884" s="1731"/>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f>OBRA!X886</f>
        <v>0</v>
      </c>
      <c r="U884" s="409">
        <f>OBRA!Y886</f>
        <v>0</v>
      </c>
      <c r="V884" s="1111"/>
      <c r="W884" s="19" t="str">
        <f>OBRA!O886</f>
        <v>GMJ 009C OP/2025</v>
      </c>
      <c r="X884" s="1431"/>
      <c r="Y884" s="1431"/>
      <c r="Z884" s="410">
        <f>OBRA!N886</f>
        <v>0</v>
      </c>
      <c r="AA884" s="1431"/>
      <c r="AB884" s="2" t="str">
        <f>OBRA!P886</f>
        <v>CONTRATO</v>
      </c>
      <c r="AC884" s="3">
        <f>OBRA!Q886</f>
        <v>0</v>
      </c>
      <c r="AD884" s="4">
        <f>OBRA!S886</f>
        <v>0</v>
      </c>
      <c r="AE884" s="6">
        <f>OBRA!T886</f>
        <v>0</v>
      </c>
      <c r="AF884" s="5">
        <f>OBRA!U886</f>
        <v>0</v>
      </c>
      <c r="AG884" s="391">
        <f>OBRA!V886</f>
        <v>0</v>
      </c>
      <c r="AH884" s="890"/>
      <c r="AI884" s="161"/>
      <c r="AJ884" s="220"/>
      <c r="AK884" s="220"/>
      <c r="AL884" s="623"/>
      <c r="AM884" s="521" t="str">
        <f>'ADMININSTRACIÓN DIR - OBRA'!B886</f>
        <v>2024-2027</v>
      </c>
      <c r="AN884" s="410"/>
      <c r="AO884" s="12"/>
    </row>
    <row r="885" spans="1:41" ht="30" hidden="1" customHeight="1">
      <c r="A885" s="158">
        <f>OBRA!K887</f>
        <v>2025</v>
      </c>
      <c r="B885" s="1731"/>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GMJ 010C OP/2025</v>
      </c>
      <c r="X885" s="1431"/>
      <c r="Y885" s="1431"/>
      <c r="Z885" s="410">
        <f>OBRA!N887</f>
        <v>0</v>
      </c>
      <c r="AA885" s="1431"/>
      <c r="AB885" s="2" t="str">
        <f>OBRA!P887</f>
        <v>CONTRATO</v>
      </c>
      <c r="AC885" s="3">
        <f>OBRA!Q887</f>
        <v>0</v>
      </c>
      <c r="AD885" s="4">
        <f>OBRA!S887</f>
        <v>0</v>
      </c>
      <c r="AE885" s="6">
        <f>OBRA!T887</f>
        <v>0</v>
      </c>
      <c r="AF885" s="5">
        <f>OBRA!U887</f>
        <v>0</v>
      </c>
      <c r="AG885" s="391">
        <f>OBRA!V887</f>
        <v>0</v>
      </c>
      <c r="AH885" s="890"/>
      <c r="AI885" s="161"/>
      <c r="AJ885" s="220"/>
      <c r="AK885" s="220"/>
      <c r="AL885" s="623"/>
      <c r="AM885" s="521" t="str">
        <f>'ADMININSTRACIÓN DIR - OBRA'!B887</f>
        <v>2024-2027</v>
      </c>
      <c r="AN885" s="410"/>
      <c r="AO885" s="12"/>
    </row>
    <row r="886" spans="1:41" hidden="1">
      <c r="A886" s="158">
        <f>OBRA!K888</f>
        <v>0</v>
      </c>
      <c r="B886" s="1731"/>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f>OBRA!O888</f>
        <v>0</v>
      </c>
      <c r="X886" s="1431"/>
      <c r="Y886" s="1431"/>
      <c r="Z886" s="410">
        <f>OBRA!N888</f>
        <v>0</v>
      </c>
      <c r="AA886" s="1431"/>
      <c r="AB886" s="2">
        <f>OBRA!P888</f>
        <v>0</v>
      </c>
      <c r="AC886" s="3">
        <f>OBRA!Q888</f>
        <v>0</v>
      </c>
      <c r="AD886" s="4">
        <f>OBRA!S888</f>
        <v>0</v>
      </c>
      <c r="AE886" s="6">
        <f>OBRA!T888</f>
        <v>0</v>
      </c>
      <c r="AF886" s="5">
        <f>OBRA!U888</f>
        <v>0</v>
      </c>
      <c r="AG886" s="391">
        <f>OBRA!V888</f>
        <v>0</v>
      </c>
      <c r="AH886" s="890"/>
      <c r="AI886" s="161"/>
      <c r="AJ886" s="220"/>
      <c r="AK886" s="220"/>
      <c r="AL886" s="623"/>
      <c r="AM886" s="521" t="str">
        <f>'ADMININSTRACIÓN DIR - OBRA'!B888</f>
        <v>2024-2027</v>
      </c>
      <c r="AN886" s="410"/>
      <c r="AO886" s="12"/>
    </row>
    <row r="887" spans="1:41" hidden="1">
      <c r="A887" s="158">
        <f>OBRA!K889</f>
        <v>0</v>
      </c>
      <c r="B887" s="1731"/>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f>OBRA!O889</f>
        <v>0</v>
      </c>
      <c r="X887" s="1431"/>
      <c r="Y887" s="1431"/>
      <c r="Z887" s="410">
        <f>OBRA!N889</f>
        <v>0</v>
      </c>
      <c r="AA887" s="1431"/>
      <c r="AB887" s="2">
        <f>OBRA!P889</f>
        <v>0</v>
      </c>
      <c r="AC887" s="3">
        <f>OBRA!Q889</f>
        <v>0</v>
      </c>
      <c r="AD887" s="4">
        <f>OBRA!S889</f>
        <v>0</v>
      </c>
      <c r="AE887" s="6">
        <f>OBRA!T889</f>
        <v>0</v>
      </c>
      <c r="AF887" s="5">
        <f>OBRA!U889</f>
        <v>0</v>
      </c>
      <c r="AG887" s="391">
        <f>OBRA!V889</f>
        <v>0</v>
      </c>
      <c r="AH887" s="890"/>
      <c r="AI887" s="161"/>
      <c r="AJ887" s="220"/>
      <c r="AK887" s="220"/>
      <c r="AL887" s="623"/>
      <c r="AM887" s="521" t="str">
        <f>'ADMININSTRACIÓN DIR - OBRA'!B889</f>
        <v>2024-2027</v>
      </c>
      <c r="AN887" s="410"/>
      <c r="AO887" s="12"/>
    </row>
    <row r="888" spans="1:41" hidden="1">
      <c r="A888" s="158">
        <f>OBRA!K890</f>
        <v>0</v>
      </c>
      <c r="B888" s="1731"/>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f>OBRA!O890</f>
        <v>0</v>
      </c>
      <c r="X888" s="1431"/>
      <c r="Y888" s="1431"/>
      <c r="Z888" s="410">
        <f>OBRA!N890</f>
        <v>0</v>
      </c>
      <c r="AA888" s="1431"/>
      <c r="AB888" s="2">
        <f>OBRA!P890</f>
        <v>0</v>
      </c>
      <c r="AC888" s="3">
        <f>OBRA!Q890</f>
        <v>0</v>
      </c>
      <c r="AD888" s="4">
        <f>OBRA!S890</f>
        <v>0</v>
      </c>
      <c r="AE888" s="6">
        <f>OBRA!T890</f>
        <v>0</v>
      </c>
      <c r="AF888" s="5">
        <f>OBRA!U890</f>
        <v>0</v>
      </c>
      <c r="AG888" s="391">
        <f>OBRA!V890</f>
        <v>0</v>
      </c>
      <c r="AH888" s="890"/>
      <c r="AI888" s="161"/>
      <c r="AJ888" s="220"/>
      <c r="AK888" s="220"/>
      <c r="AL888" s="623"/>
      <c r="AM888" s="521" t="str">
        <f>'ADMININSTRACIÓN DIR - OBRA'!B890</f>
        <v>2024-2027</v>
      </c>
      <c r="AN888" s="410"/>
      <c r="AO888" s="12"/>
    </row>
    <row r="889" spans="1:41" hidden="1">
      <c r="A889" s="158">
        <f>OBRA!K891</f>
        <v>0</v>
      </c>
      <c r="B889" s="1731"/>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f>OBRA!O891</f>
        <v>0</v>
      </c>
      <c r="X889" s="1431"/>
      <c r="Y889" s="1431"/>
      <c r="Z889" s="410">
        <f>OBRA!N891</f>
        <v>0</v>
      </c>
      <c r="AA889" s="1431"/>
      <c r="AB889" s="2">
        <f>OBRA!P891</f>
        <v>0</v>
      </c>
      <c r="AC889" s="3">
        <f>OBRA!Q891</f>
        <v>0</v>
      </c>
      <c r="AD889" s="4">
        <f>OBRA!S891</f>
        <v>0</v>
      </c>
      <c r="AE889" s="6">
        <f>OBRA!T891</f>
        <v>0</v>
      </c>
      <c r="AF889" s="5">
        <f>OBRA!U891</f>
        <v>0</v>
      </c>
      <c r="AG889" s="391">
        <f>OBRA!V891</f>
        <v>0</v>
      </c>
      <c r="AH889" s="890"/>
      <c r="AI889" s="161"/>
      <c r="AJ889" s="220"/>
      <c r="AK889" s="220"/>
      <c r="AL889" s="623"/>
      <c r="AM889" s="521" t="str">
        <f>'ADMININSTRACIÓN DIR - OBRA'!B891</f>
        <v>2024-2027</v>
      </c>
      <c r="AN889" s="410"/>
      <c r="AO889" s="12"/>
    </row>
    <row r="890" spans="1:41" hidden="1">
      <c r="A890" s="158">
        <f>OBRA!K892</f>
        <v>0</v>
      </c>
      <c r="B890" s="1731"/>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f>OBRA!O892</f>
        <v>0</v>
      </c>
      <c r="X890" s="1431"/>
      <c r="Y890" s="1431"/>
      <c r="Z890" s="410">
        <f>OBRA!N892</f>
        <v>0</v>
      </c>
      <c r="AA890" s="1431"/>
      <c r="AB890" s="2">
        <f>OBRA!P892</f>
        <v>0</v>
      </c>
      <c r="AC890" s="3">
        <f>OBRA!Q892</f>
        <v>0</v>
      </c>
      <c r="AD890" s="4">
        <f>OBRA!S892</f>
        <v>0</v>
      </c>
      <c r="AE890" s="6">
        <f>OBRA!T892</f>
        <v>0</v>
      </c>
      <c r="AF890" s="5">
        <f>OBRA!U892</f>
        <v>0</v>
      </c>
      <c r="AG890" s="391">
        <f>OBRA!V892</f>
        <v>0</v>
      </c>
      <c r="AH890" s="890"/>
      <c r="AI890" s="161"/>
      <c r="AJ890" s="220"/>
      <c r="AK890" s="220"/>
      <c r="AL890" s="623"/>
      <c r="AM890" s="521" t="str">
        <f>'ADMININSTRACIÓN DIR - OBRA'!B892</f>
        <v>2024-2027</v>
      </c>
      <c r="AN890" s="410"/>
      <c r="AO890" s="12"/>
    </row>
    <row r="891" spans="1:41" hidden="1">
      <c r="A891" s="158">
        <f>OBRA!K893</f>
        <v>0</v>
      </c>
      <c r="B891" s="1731"/>
      <c r="C891" s="1389"/>
      <c r="D891" s="163"/>
      <c r="E891" s="1193"/>
      <c r="F891" s="1193"/>
      <c r="G891" s="1208"/>
      <c r="H891" s="1209">
        <f>OBRA!AG893</f>
        <v>0</v>
      </c>
      <c r="I891" s="1210"/>
      <c r="J891" s="1390">
        <f>OBRA!AH893</f>
        <v>0</v>
      </c>
      <c r="K891" s="1211"/>
      <c r="L891" s="1209">
        <f>OBRA!AI893</f>
        <v>0</v>
      </c>
      <c r="M891" s="1212"/>
      <c r="N891" s="1209">
        <f>OBRA!AJ893</f>
        <v>0</v>
      </c>
      <c r="O891" s="1209"/>
      <c r="P891" s="1209"/>
      <c r="Q891" s="1211"/>
      <c r="R891" s="438">
        <f>OBRA!AK893</f>
        <v>0</v>
      </c>
      <c r="S891" s="538"/>
      <c r="T891" s="400">
        <f>OBRA!X893</f>
        <v>0</v>
      </c>
      <c r="U891" s="409">
        <f>OBRA!Y893</f>
        <v>0</v>
      </c>
      <c r="V891" s="1111"/>
      <c r="W891" s="19">
        <f>OBRA!O893</f>
        <v>0</v>
      </c>
      <c r="X891" s="1431"/>
      <c r="Y891" s="1431"/>
      <c r="Z891" s="410">
        <f>OBRA!N893</f>
        <v>0</v>
      </c>
      <c r="AA891" s="1431"/>
      <c r="AB891" s="2">
        <f>OBRA!P893</f>
        <v>0</v>
      </c>
      <c r="AC891" s="3">
        <f>OBRA!Q893</f>
        <v>0</v>
      </c>
      <c r="AD891" s="4">
        <f>OBRA!S893</f>
        <v>0</v>
      </c>
      <c r="AE891" s="6">
        <f>OBRA!T893</f>
        <v>0</v>
      </c>
      <c r="AF891" s="5">
        <f>OBRA!U893</f>
        <v>0</v>
      </c>
      <c r="AG891" s="391">
        <f>OBRA!V893</f>
        <v>0</v>
      </c>
      <c r="AH891" s="890"/>
      <c r="AI891" s="161"/>
      <c r="AJ891" s="220"/>
      <c r="AK891" s="220"/>
      <c r="AL891" s="623"/>
      <c r="AM891" s="521" t="str">
        <f>'ADMININSTRACIÓN DIR - OBRA'!B893</f>
        <v>2024-2027</v>
      </c>
      <c r="AN891" s="410"/>
      <c r="AO891" s="12"/>
    </row>
    <row r="892" spans="1:41" hidden="1">
      <c r="A892" s="158">
        <f>OBRA!K894</f>
        <v>0</v>
      </c>
      <c r="B892" s="1731"/>
      <c r="C892" s="1389"/>
      <c r="D892" s="163"/>
      <c r="E892" s="1193"/>
      <c r="F892" s="1193"/>
      <c r="G892" s="1208"/>
      <c r="H892" s="1209">
        <f>OBRA!AG894</f>
        <v>0</v>
      </c>
      <c r="I892" s="1210"/>
      <c r="J892" s="1390">
        <f>OBRA!AH894</f>
        <v>0</v>
      </c>
      <c r="K892" s="1211"/>
      <c r="L892" s="1209">
        <f>OBRA!AI894</f>
        <v>0</v>
      </c>
      <c r="M892" s="1212"/>
      <c r="N892" s="1209">
        <f>OBRA!AJ894</f>
        <v>0</v>
      </c>
      <c r="O892" s="1209"/>
      <c r="P892" s="1209"/>
      <c r="Q892" s="1211"/>
      <c r="R892" s="438">
        <f>OBRA!AK894</f>
        <v>0</v>
      </c>
      <c r="S892" s="538"/>
      <c r="T892" s="400">
        <f>OBRA!X894</f>
        <v>0</v>
      </c>
      <c r="U892" s="409">
        <f>OBRA!Y894</f>
        <v>0</v>
      </c>
      <c r="V892" s="1111"/>
      <c r="W892" s="19">
        <f>OBRA!O894</f>
        <v>0</v>
      </c>
      <c r="X892" s="1431"/>
      <c r="Y892" s="1431"/>
      <c r="Z892" s="410">
        <f>OBRA!N894</f>
        <v>0</v>
      </c>
      <c r="AA892" s="1431"/>
      <c r="AB892" s="2">
        <f>OBRA!P894</f>
        <v>0</v>
      </c>
      <c r="AC892" s="3">
        <f>OBRA!Q894</f>
        <v>0</v>
      </c>
      <c r="AD892" s="4">
        <f>OBRA!S894</f>
        <v>0</v>
      </c>
      <c r="AE892" s="6">
        <f>OBRA!T894</f>
        <v>0</v>
      </c>
      <c r="AF892" s="5">
        <f>OBRA!U894</f>
        <v>0</v>
      </c>
      <c r="AG892" s="391">
        <f>OBRA!V894</f>
        <v>0</v>
      </c>
      <c r="AH892" s="890"/>
      <c r="AI892" s="161"/>
      <c r="AJ892" s="220"/>
      <c r="AK892" s="220"/>
      <c r="AL892" s="623"/>
      <c r="AM892" s="521" t="str">
        <f>'ADMININSTRACIÓN DIR - OBRA'!B894</f>
        <v>2024-2027</v>
      </c>
      <c r="AN892" s="410"/>
      <c r="AO892" s="12"/>
    </row>
    <row r="893" spans="1:41" hidden="1">
      <c r="A893" s="158">
        <f>OBRA!K895</f>
        <v>0</v>
      </c>
      <c r="B893" s="1731"/>
      <c r="C893" s="1389"/>
      <c r="D893" s="163"/>
      <c r="E893" s="1193"/>
      <c r="F893" s="1193"/>
      <c r="G893" s="1208"/>
      <c r="H893" s="1209">
        <f>OBRA!AG895</f>
        <v>0</v>
      </c>
      <c r="I893" s="1210"/>
      <c r="J893" s="1390">
        <f>OBRA!AH895</f>
        <v>0</v>
      </c>
      <c r="K893" s="1211"/>
      <c r="L893" s="1209">
        <f>OBRA!AI895</f>
        <v>0</v>
      </c>
      <c r="M893" s="1212"/>
      <c r="N893" s="1209">
        <f>OBRA!AJ895</f>
        <v>0</v>
      </c>
      <c r="O893" s="1209"/>
      <c r="P893" s="1209"/>
      <c r="Q893" s="1211"/>
      <c r="R893" s="438">
        <f>OBRA!AK895</f>
        <v>0</v>
      </c>
      <c r="S893" s="538"/>
      <c r="T893" s="400">
        <f>OBRA!X895</f>
        <v>0</v>
      </c>
      <c r="U893" s="409">
        <f>OBRA!Y895</f>
        <v>0</v>
      </c>
      <c r="V893" s="1111"/>
      <c r="W893" s="19">
        <f>OBRA!O895</f>
        <v>0</v>
      </c>
      <c r="X893" s="1431"/>
      <c r="Y893" s="1431"/>
      <c r="Z893" s="410">
        <f>OBRA!N895</f>
        <v>0</v>
      </c>
      <c r="AA893" s="1431"/>
      <c r="AB893" s="2">
        <f>OBRA!P895</f>
        <v>0</v>
      </c>
      <c r="AC893" s="3">
        <f>OBRA!Q895</f>
        <v>0</v>
      </c>
      <c r="AD893" s="4">
        <f>OBRA!S895</f>
        <v>0</v>
      </c>
      <c r="AE893" s="6">
        <f>OBRA!T895</f>
        <v>0</v>
      </c>
      <c r="AF893" s="5">
        <f>OBRA!U895</f>
        <v>0</v>
      </c>
      <c r="AG893" s="391">
        <f>OBRA!V895</f>
        <v>0</v>
      </c>
      <c r="AH893" s="890"/>
      <c r="AI893" s="161"/>
      <c r="AJ893" s="220"/>
      <c r="AK893" s="220"/>
      <c r="AL893" s="623"/>
      <c r="AM893" s="521" t="str">
        <f>'ADMININSTRACIÓN DIR - OBRA'!B895</f>
        <v>2024-2027</v>
      </c>
      <c r="AN893" s="410"/>
      <c r="AO893" s="12"/>
    </row>
    <row r="894" spans="1:41" hidden="1">
      <c r="A894" s="158">
        <f>OBRA!K896</f>
        <v>0</v>
      </c>
      <c r="B894" s="1731"/>
      <c r="C894" s="1389"/>
      <c r="D894" s="163"/>
      <c r="E894" s="1193"/>
      <c r="F894" s="1193"/>
      <c r="G894" s="1208"/>
      <c r="H894" s="1209">
        <f>OBRA!AG896</f>
        <v>0</v>
      </c>
      <c r="I894" s="1210"/>
      <c r="J894" s="1390">
        <f>OBRA!AH896</f>
        <v>0</v>
      </c>
      <c r="K894" s="1211"/>
      <c r="L894" s="1209">
        <f>OBRA!AI896</f>
        <v>0</v>
      </c>
      <c r="M894" s="1212"/>
      <c r="N894" s="1209">
        <f>OBRA!AJ896</f>
        <v>0</v>
      </c>
      <c r="O894" s="1209"/>
      <c r="P894" s="1209"/>
      <c r="Q894" s="1211"/>
      <c r="R894" s="438">
        <f>OBRA!AK896</f>
        <v>0</v>
      </c>
      <c r="S894" s="538"/>
      <c r="T894" s="400">
        <f>OBRA!X896</f>
        <v>0</v>
      </c>
      <c r="U894" s="409">
        <f>OBRA!Y896</f>
        <v>0</v>
      </c>
      <c r="V894" s="1111"/>
      <c r="W894" s="19">
        <f>OBRA!O896</f>
        <v>0</v>
      </c>
      <c r="X894" s="1431"/>
      <c r="Y894" s="1431"/>
      <c r="Z894" s="410">
        <f>OBRA!N896</f>
        <v>0</v>
      </c>
      <c r="AA894" s="1431"/>
      <c r="AB894" s="2">
        <f>OBRA!P896</f>
        <v>0</v>
      </c>
      <c r="AC894" s="3">
        <f>OBRA!Q896</f>
        <v>0</v>
      </c>
      <c r="AD894" s="4">
        <f>OBRA!S896</f>
        <v>0</v>
      </c>
      <c r="AE894" s="6">
        <f>OBRA!T896</f>
        <v>0</v>
      </c>
      <c r="AF894" s="5">
        <f>OBRA!U896</f>
        <v>0</v>
      </c>
      <c r="AG894" s="391">
        <f>OBRA!V896</f>
        <v>0</v>
      </c>
      <c r="AH894" s="890"/>
      <c r="AI894" s="161"/>
      <c r="AJ894" s="220"/>
      <c r="AK894" s="220"/>
      <c r="AL894" s="623"/>
      <c r="AM894" s="521" t="str">
        <f>'ADMININSTRACIÓN DIR - OBRA'!B896</f>
        <v>2024-2027</v>
      </c>
      <c r="AN894" s="410"/>
      <c r="AO894" s="12"/>
    </row>
    <row r="895" spans="1:41" hidden="1">
      <c r="A895" s="158">
        <f>OBRA!K897</f>
        <v>0</v>
      </c>
      <c r="B895" s="1731"/>
      <c r="C895" s="1389"/>
      <c r="D895" s="163"/>
      <c r="E895" s="1193"/>
      <c r="F895" s="1193"/>
      <c r="G895" s="1208"/>
      <c r="H895" s="1209">
        <f>OBRA!AG897</f>
        <v>0</v>
      </c>
      <c r="I895" s="1210"/>
      <c r="J895" s="1390">
        <f>OBRA!AH897</f>
        <v>0</v>
      </c>
      <c r="K895" s="1211"/>
      <c r="L895" s="1209">
        <f>OBRA!AI897</f>
        <v>0</v>
      </c>
      <c r="M895" s="1212"/>
      <c r="N895" s="1209">
        <f>OBRA!AJ897</f>
        <v>0</v>
      </c>
      <c r="O895" s="1209"/>
      <c r="P895" s="1209"/>
      <c r="Q895" s="1211"/>
      <c r="R895" s="438">
        <f>OBRA!AK897</f>
        <v>0</v>
      </c>
      <c r="S895" s="538"/>
      <c r="T895" s="400">
        <f>OBRA!X897</f>
        <v>0</v>
      </c>
      <c r="U895" s="409">
        <f>OBRA!Y897</f>
        <v>0</v>
      </c>
      <c r="V895" s="1111"/>
      <c r="W895" s="19">
        <f>OBRA!O897</f>
        <v>0</v>
      </c>
      <c r="X895" s="1431"/>
      <c r="Y895" s="1431"/>
      <c r="Z895" s="410">
        <f>OBRA!N897</f>
        <v>0</v>
      </c>
      <c r="AA895" s="1431"/>
      <c r="AB895" s="2">
        <f>OBRA!P897</f>
        <v>0</v>
      </c>
      <c r="AC895" s="3">
        <f>OBRA!Q897</f>
        <v>0</v>
      </c>
      <c r="AD895" s="4">
        <f>OBRA!S897</f>
        <v>0</v>
      </c>
      <c r="AE895" s="6">
        <f>OBRA!T897</f>
        <v>0</v>
      </c>
      <c r="AF895" s="5">
        <f>OBRA!U897</f>
        <v>0</v>
      </c>
      <c r="AG895" s="391">
        <f>OBRA!V897</f>
        <v>0</v>
      </c>
      <c r="AH895" s="890"/>
      <c r="AI895" s="161"/>
      <c r="AJ895" s="220"/>
      <c r="AK895" s="220"/>
      <c r="AL895" s="623"/>
      <c r="AM895" s="521" t="str">
        <f>'ADMININSTRACIÓN DIR - OBRA'!B897</f>
        <v>2024-2027</v>
      </c>
      <c r="AN895" s="410"/>
      <c r="AO895" s="12"/>
    </row>
    <row r="896" spans="1:41" hidden="1">
      <c r="A896" s="158">
        <f>OBRA!K898</f>
        <v>0</v>
      </c>
      <c r="B896" s="1731"/>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f>OBRA!X898</f>
        <v>0</v>
      </c>
      <c r="U896" s="409">
        <f>OBRA!Y898</f>
        <v>0</v>
      </c>
      <c r="V896" s="1111"/>
      <c r="W896" s="19">
        <f>OBRA!O898</f>
        <v>0</v>
      </c>
      <c r="X896" s="1431"/>
      <c r="Y896" s="1431"/>
      <c r="Z896" s="410">
        <f>OBRA!N898</f>
        <v>0</v>
      </c>
      <c r="AA896" s="1431"/>
      <c r="AB896" s="2">
        <f>OBRA!P898</f>
        <v>0</v>
      </c>
      <c r="AC896" s="3">
        <f>OBRA!Q898</f>
        <v>0</v>
      </c>
      <c r="AD896" s="4">
        <f>OBRA!S898</f>
        <v>0</v>
      </c>
      <c r="AE896" s="6">
        <f>OBRA!T898</f>
        <v>0</v>
      </c>
      <c r="AF896" s="5">
        <f>OBRA!U898</f>
        <v>0</v>
      </c>
      <c r="AG896" s="391">
        <f>OBRA!V898</f>
        <v>0</v>
      </c>
      <c r="AH896" s="890"/>
      <c r="AI896" s="161"/>
      <c r="AJ896" s="220"/>
      <c r="AK896" s="220"/>
      <c r="AL896" s="623"/>
      <c r="AM896" s="521" t="str">
        <f>'ADMININSTRACIÓN DIR - OBRA'!B898</f>
        <v>2024-2027</v>
      </c>
      <c r="AN896" s="410"/>
      <c r="AO896" s="12"/>
    </row>
    <row r="897" spans="1:41" hidden="1">
      <c r="A897" s="158">
        <f>OBRA!K899</f>
        <v>0</v>
      </c>
      <c r="B897" s="1731"/>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f>OBRA!O899</f>
        <v>0</v>
      </c>
      <c r="X897" s="1431"/>
      <c r="Y897" s="1431"/>
      <c r="Z897" s="410">
        <f>OBRA!N899</f>
        <v>0</v>
      </c>
      <c r="AA897" s="1431"/>
      <c r="AB897" s="2">
        <f>OBRA!P899</f>
        <v>0</v>
      </c>
      <c r="AC897" s="3">
        <f>OBRA!Q899</f>
        <v>0</v>
      </c>
      <c r="AD897" s="4">
        <f>OBRA!S899</f>
        <v>0</v>
      </c>
      <c r="AE897" s="6">
        <f>OBRA!T899</f>
        <v>0</v>
      </c>
      <c r="AF897" s="5">
        <f>OBRA!U899</f>
        <v>0</v>
      </c>
      <c r="AG897" s="391">
        <f>OBRA!V899</f>
        <v>0</v>
      </c>
      <c r="AH897" s="890"/>
      <c r="AI897" s="161"/>
      <c r="AJ897" s="220"/>
      <c r="AK897" s="220"/>
      <c r="AL897" s="623"/>
      <c r="AM897" s="521" t="str">
        <f>'ADMININSTRACIÓN DIR - OBRA'!B899</f>
        <v>2024-2027</v>
      </c>
      <c r="AN897" s="410"/>
      <c r="AO897" s="12"/>
    </row>
    <row r="898" spans="1:41" hidden="1">
      <c r="A898" s="158">
        <f>OBRA!K900</f>
        <v>0</v>
      </c>
      <c r="B898" s="1731"/>
      <c r="C898" s="1389"/>
      <c r="D898" s="163"/>
      <c r="E898" s="1193"/>
      <c r="F898" s="1193"/>
      <c r="G898" s="1208"/>
      <c r="H898" s="1209">
        <f>OBRA!AG900</f>
        <v>0</v>
      </c>
      <c r="I898" s="1210"/>
      <c r="J898" s="1390">
        <f>OBRA!AH900</f>
        <v>0</v>
      </c>
      <c r="K898" s="1211"/>
      <c r="L898" s="1209">
        <f>OBRA!AI900</f>
        <v>0</v>
      </c>
      <c r="M898" s="1212"/>
      <c r="N898" s="1209">
        <f>OBRA!AJ900</f>
        <v>0</v>
      </c>
      <c r="O898" s="1209"/>
      <c r="P898" s="1209"/>
      <c r="Q898" s="1211"/>
      <c r="R898" s="438">
        <f>OBRA!AK900</f>
        <v>0</v>
      </c>
      <c r="S898" s="538"/>
      <c r="T898" s="400">
        <f>OBRA!X900</f>
        <v>0</v>
      </c>
      <c r="U898" s="409">
        <f>OBRA!Y900</f>
        <v>0</v>
      </c>
      <c r="V898" s="1111"/>
      <c r="W898" s="19">
        <f>OBRA!O900</f>
        <v>0</v>
      </c>
      <c r="X898" s="1431"/>
      <c r="Y898" s="1431"/>
      <c r="Z898" s="410">
        <f>OBRA!N900</f>
        <v>0</v>
      </c>
      <c r="AA898" s="1431"/>
      <c r="AB898" s="2">
        <f>OBRA!P900</f>
        <v>0</v>
      </c>
      <c r="AC898" s="3">
        <f>OBRA!Q900</f>
        <v>0</v>
      </c>
      <c r="AD898" s="4">
        <f>OBRA!S900</f>
        <v>0</v>
      </c>
      <c r="AE898" s="6">
        <f>OBRA!T900</f>
        <v>0</v>
      </c>
      <c r="AF898" s="5">
        <f>OBRA!U900</f>
        <v>0</v>
      </c>
      <c r="AG898" s="391">
        <f>OBRA!V900</f>
        <v>0</v>
      </c>
      <c r="AH898" s="890"/>
      <c r="AI898" s="161"/>
      <c r="AJ898" s="220"/>
      <c r="AK898" s="220"/>
      <c r="AL898" s="623"/>
      <c r="AM898" s="521" t="str">
        <f>'ADMININSTRACIÓN DIR - OBRA'!B900</f>
        <v>2024-2027</v>
      </c>
      <c r="AN898" s="410"/>
      <c r="AO898" s="12"/>
    </row>
    <row r="899" spans="1:41" hidden="1">
      <c r="A899" s="158">
        <f>OBRA!K901</f>
        <v>0</v>
      </c>
      <c r="B899" s="1731"/>
      <c r="C899" s="1389"/>
      <c r="D899" s="163"/>
      <c r="E899" s="1193"/>
      <c r="F899" s="1193"/>
      <c r="G899" s="1208"/>
      <c r="H899" s="1209">
        <f>OBRA!AG901</f>
        <v>0</v>
      </c>
      <c r="I899" s="1210"/>
      <c r="J899" s="1390">
        <f>OBRA!AH901</f>
        <v>0</v>
      </c>
      <c r="K899" s="1211"/>
      <c r="L899" s="1209">
        <f>OBRA!AI901</f>
        <v>0</v>
      </c>
      <c r="M899" s="1212"/>
      <c r="N899" s="1209">
        <f>OBRA!AJ901</f>
        <v>0</v>
      </c>
      <c r="O899" s="1209"/>
      <c r="P899" s="1209"/>
      <c r="Q899" s="1211"/>
      <c r="R899" s="438">
        <f>OBRA!AK901</f>
        <v>0</v>
      </c>
      <c r="S899" s="538"/>
      <c r="T899" s="400">
        <f>OBRA!X901</f>
        <v>0</v>
      </c>
      <c r="U899" s="409">
        <f>OBRA!Y901</f>
        <v>0</v>
      </c>
      <c r="V899" s="1111"/>
      <c r="W899" s="19">
        <f>OBRA!O901</f>
        <v>0</v>
      </c>
      <c r="X899" s="1431"/>
      <c r="Y899" s="1431"/>
      <c r="Z899" s="410">
        <f>OBRA!N901</f>
        <v>0</v>
      </c>
      <c r="AA899" s="1431"/>
      <c r="AB899" s="2">
        <f>OBRA!P901</f>
        <v>0</v>
      </c>
      <c r="AC899" s="3">
        <f>OBRA!Q901</f>
        <v>0</v>
      </c>
      <c r="AD899" s="4">
        <f>OBRA!S901</f>
        <v>0</v>
      </c>
      <c r="AE899" s="6">
        <f>OBRA!T901</f>
        <v>0</v>
      </c>
      <c r="AF899" s="5">
        <f>OBRA!U901</f>
        <v>0</v>
      </c>
      <c r="AG899" s="391">
        <f>OBRA!V901</f>
        <v>0</v>
      </c>
      <c r="AH899" s="890"/>
      <c r="AI899" s="161"/>
      <c r="AJ899" s="220"/>
      <c r="AK899" s="220"/>
      <c r="AL899" s="623"/>
      <c r="AM899" s="521" t="str">
        <f>'ADMININSTRACIÓN DIR - OBRA'!B901</f>
        <v>2024-2027</v>
      </c>
      <c r="AN899" s="410"/>
      <c r="AO899" s="12"/>
    </row>
    <row r="900" spans="1:41">
      <c r="AJ900"/>
      <c r="AK900"/>
      <c r="AL900"/>
      <c r="AM900"/>
      <c r="AN900"/>
    </row>
    <row r="901" spans="1:41">
      <c r="AJ901"/>
      <c r="AK901"/>
      <c r="AL901"/>
      <c r="AM901"/>
      <c r="AN901"/>
    </row>
    <row r="902" spans="1:41" ht="18.75">
      <c r="C902" s="2161" t="s">
        <v>2445</v>
      </c>
      <c r="D902" s="2162"/>
      <c r="E902" s="2162"/>
      <c r="F902" s="2162"/>
      <c r="AJ902"/>
      <c r="AK902"/>
      <c r="AL902"/>
      <c r="AM902"/>
      <c r="AN902"/>
    </row>
    <row r="903" spans="1:41">
      <c r="C903" s="425"/>
      <c r="F903" s="382"/>
      <c r="AJ903"/>
      <c r="AK903"/>
      <c r="AL903"/>
      <c r="AM903"/>
      <c r="AN903"/>
    </row>
    <row r="904" spans="1:41" ht="18.75">
      <c r="A904" s="424"/>
      <c r="B904" s="424"/>
      <c r="C904" s="426">
        <v>4</v>
      </c>
      <c r="D904" t="s">
        <v>2278</v>
      </c>
      <c r="F904" s="382"/>
      <c r="AJ904"/>
      <c r="AK904"/>
      <c r="AL904"/>
      <c r="AM904"/>
      <c r="AN904"/>
    </row>
    <row r="905" spans="1:41" ht="18.75">
      <c r="A905" s="424"/>
      <c r="B905" s="424"/>
      <c r="C905" s="426">
        <v>5</v>
      </c>
      <c r="D905" t="s">
        <v>2446</v>
      </c>
      <c r="F905" s="382"/>
      <c r="AJ905"/>
      <c r="AK905"/>
      <c r="AL905"/>
      <c r="AM905"/>
      <c r="AN905"/>
    </row>
    <row r="906" spans="1:41" ht="18.75">
      <c r="A906" s="424"/>
      <c r="B906" s="424"/>
      <c r="C906" s="427"/>
      <c r="D906" s="428"/>
      <c r="E906" s="428"/>
      <c r="F906" s="382"/>
      <c r="AD906" s="506"/>
      <c r="AJ906"/>
      <c r="AK906"/>
      <c r="AL906"/>
      <c r="AM906"/>
      <c r="AN906"/>
    </row>
    <row r="907" spans="1:41">
      <c r="F907" s="513"/>
      <c r="AJ907"/>
      <c r="AK907"/>
      <c r="AL907"/>
      <c r="AM907"/>
      <c r="AN907"/>
    </row>
    <row r="908" spans="1:41">
      <c r="AJ908"/>
      <c r="AK908"/>
      <c r="AL908"/>
      <c r="AM908"/>
      <c r="AN908"/>
    </row>
    <row r="909" spans="1:41" ht="15.75" thickBot="1">
      <c r="AJ909"/>
      <c r="AK909"/>
      <c r="AL909"/>
      <c r="AM909"/>
      <c r="AN909"/>
    </row>
    <row r="910" spans="1:41" ht="21">
      <c r="D910" s="1932" t="s">
        <v>2182</v>
      </c>
      <c r="AJ910"/>
      <c r="AK910"/>
      <c r="AL910"/>
      <c r="AM910"/>
      <c r="AN910"/>
    </row>
    <row r="911" spans="1:41" ht="29.25" thickBot="1">
      <c r="D911" s="1933">
        <f>OBRA!Q904</f>
        <v>45789</v>
      </c>
      <c r="E911" s="159"/>
      <c r="F911" s="159"/>
      <c r="G911" s="159"/>
      <c r="AJ911"/>
      <c r="AK911"/>
      <c r="AL911"/>
      <c r="AM911"/>
      <c r="AN911"/>
    </row>
    <row r="912" spans="1:41">
      <c r="T912" s="681"/>
      <c r="AJ912"/>
      <c r="AK912"/>
      <c r="AL912"/>
      <c r="AM912"/>
      <c r="AN912"/>
    </row>
  </sheetData>
  <autoFilter ref="A6:AN899" xr:uid="{00000000-0009-0000-0000-000005000000}">
    <filterColumn colId="0">
      <filters>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02:F902"/>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71"/>
      <c r="B4" s="2176" t="s">
        <v>1408</v>
      </c>
      <c r="C4" s="2176" t="s">
        <v>19</v>
      </c>
      <c r="D4" s="2178" t="s">
        <v>2448</v>
      </c>
      <c r="E4" s="2178" t="s">
        <v>2209</v>
      </c>
      <c r="F4" s="2178" t="s">
        <v>2449</v>
      </c>
      <c r="G4" s="2180" t="s">
        <v>2450</v>
      </c>
      <c r="H4" s="2178" t="s">
        <v>1411</v>
      </c>
      <c r="I4" s="2178" t="s">
        <v>25</v>
      </c>
      <c r="J4" s="2175" t="s">
        <v>28</v>
      </c>
      <c r="K4" s="2175"/>
      <c r="L4" s="2175" t="s">
        <v>2451</v>
      </c>
      <c r="M4" s="2175"/>
      <c r="N4" s="2175"/>
      <c r="O4" s="2178" t="s">
        <v>2452</v>
      </c>
      <c r="P4" s="2178" t="s">
        <v>2453</v>
      </c>
      <c r="Q4" s="2178" t="s">
        <v>2454</v>
      </c>
      <c r="R4" s="2178" t="s">
        <v>2455</v>
      </c>
      <c r="S4" s="2173"/>
    </row>
    <row r="5" spans="1:19" s="950" customFormat="1" ht="13.5" customHeight="1">
      <c r="A5" s="2172"/>
      <c r="B5" s="2177"/>
      <c r="C5" s="2177"/>
      <c r="D5" s="2179"/>
      <c r="E5" s="2179"/>
      <c r="F5" s="2179"/>
      <c r="G5" s="2181"/>
      <c r="H5" s="2179"/>
      <c r="I5" s="2179"/>
      <c r="J5" s="951" t="s">
        <v>2456</v>
      </c>
      <c r="K5" s="952" t="s">
        <v>2457</v>
      </c>
      <c r="L5" s="951" t="s">
        <v>2458</v>
      </c>
      <c r="M5" s="953" t="s">
        <v>2459</v>
      </c>
      <c r="N5" s="952" t="s">
        <v>2460</v>
      </c>
      <c r="O5" s="2179"/>
      <c r="P5" s="2179"/>
      <c r="Q5" s="2179"/>
      <c r="R5" s="2179"/>
      <c r="S5" s="2174"/>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82">
        <v>43741</v>
      </c>
      <c r="E130" s="2182"/>
    </row>
  </sheetData>
  <autoFilter ref="A6:S127" xr:uid="{00000000-0009-0000-0000-000006000000}"/>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83" t="s">
        <v>2898</v>
      </c>
      <c r="B1" s="2183"/>
      <c r="C1" s="2183"/>
      <c r="D1" s="2183"/>
      <c r="E1" s="2183"/>
      <c r="F1" s="2183"/>
      <c r="G1" s="2183"/>
      <c r="H1" s="2183"/>
      <c r="I1" s="2183"/>
      <c r="J1" s="2183"/>
      <c r="K1" s="2183"/>
      <c r="L1" s="2183"/>
      <c r="M1" s="2183"/>
      <c r="N1" s="2183"/>
      <c r="O1" s="2183"/>
      <c r="P1" s="2183"/>
      <c r="Q1" s="2183"/>
      <c r="R1" s="2183"/>
      <c r="S1" s="2183"/>
      <c r="T1" s="2183"/>
      <c r="U1" s="2183"/>
    </row>
    <row r="2" spans="1:21">
      <c r="A2" s="2184" t="str">
        <f>'ADMININSTRACIÓN DIR - OBRA'!A2</f>
        <v>DEL 01 DE ENERO 2022 A FECHA ACTUAL</v>
      </c>
      <c r="B2" s="2184"/>
      <c r="C2" s="2184"/>
      <c r="D2" s="2184"/>
      <c r="E2" s="2184"/>
      <c r="F2" s="2184"/>
      <c r="G2" s="2184"/>
      <c r="H2" s="2184"/>
      <c r="I2" s="2184"/>
      <c r="J2" s="2184"/>
      <c r="K2" s="2184"/>
      <c r="L2" s="2184"/>
      <c r="M2" s="2184"/>
      <c r="N2" s="2184"/>
      <c r="O2" s="2184"/>
      <c r="P2" s="2184"/>
      <c r="Q2" s="2184"/>
      <c r="R2" s="2184"/>
      <c r="S2" s="2184"/>
      <c r="T2" s="2184"/>
      <c r="U2" s="2184"/>
    </row>
    <row r="3" spans="1:21" ht="15.75">
      <c r="A3" s="1131" t="s">
        <v>2855</v>
      </c>
      <c r="B3" s="2185">
        <v>45602</v>
      </c>
      <c r="C3" s="2185"/>
      <c r="D3" s="2185"/>
      <c r="E3" s="2185"/>
      <c r="F3" s="2185"/>
      <c r="G3" s="2185"/>
      <c r="H3" s="1130"/>
      <c r="I3" s="1130"/>
      <c r="J3" s="1130"/>
      <c r="K3" s="1130"/>
      <c r="L3" s="1130"/>
      <c r="M3" s="1130"/>
      <c r="N3" s="1130"/>
      <c r="O3" s="1561"/>
      <c r="P3" s="1130"/>
      <c r="Q3" s="1130"/>
      <c r="R3" s="1130"/>
      <c r="S3" s="1130"/>
      <c r="T3" s="1130"/>
      <c r="U3" s="1130"/>
    </row>
    <row r="5" spans="1:21" s="948" customFormat="1" ht="60" customHeight="1">
      <c r="A5" s="947" t="s">
        <v>2473</v>
      </c>
      <c r="B5" s="947" t="s">
        <v>25</v>
      </c>
      <c r="C5" s="947" t="s">
        <v>2474</v>
      </c>
      <c r="D5" s="947" t="s">
        <v>2475</v>
      </c>
      <c r="E5" s="933" t="s">
        <v>2476</v>
      </c>
      <c r="F5" s="1198" t="s">
        <v>3058</v>
      </c>
      <c r="G5" s="947" t="s">
        <v>2209</v>
      </c>
      <c r="H5" s="949" t="s">
        <v>2477</v>
      </c>
      <c r="I5" s="949" t="s">
        <v>3055</v>
      </c>
      <c r="J5" s="933" t="s">
        <v>5787</v>
      </c>
      <c r="K5" s="949" t="s">
        <v>3056</v>
      </c>
      <c r="L5" s="949" t="s">
        <v>3057</v>
      </c>
      <c r="M5" s="947" t="s">
        <v>2478</v>
      </c>
      <c r="N5" s="947" t="s">
        <v>2961</v>
      </c>
      <c r="O5" s="947" t="s">
        <v>2196</v>
      </c>
      <c r="P5" s="947" t="s">
        <v>2959</v>
      </c>
      <c r="Q5" s="947" t="s">
        <v>2960</v>
      </c>
      <c r="R5" s="947" t="s">
        <v>2479</v>
      </c>
      <c r="S5" s="947" t="s">
        <v>2480</v>
      </c>
      <c r="T5" s="947" t="s">
        <v>3666</v>
      </c>
      <c r="U5" s="947"/>
    </row>
    <row r="6" spans="1:21">
      <c r="A6" s="934"/>
      <c r="B6" s="934"/>
      <c r="C6" s="934"/>
      <c r="D6" s="934"/>
      <c r="E6" s="935"/>
      <c r="F6" s="935"/>
      <c r="G6" s="934"/>
      <c r="H6" s="934"/>
      <c r="I6" s="934"/>
      <c r="J6" s="1751"/>
      <c r="K6" s="1748"/>
      <c r="L6" s="1749"/>
      <c r="M6" s="934"/>
      <c r="N6" s="934"/>
      <c r="O6" s="1562"/>
      <c r="P6" s="934"/>
      <c r="Q6" s="934"/>
      <c r="R6" s="934"/>
      <c r="S6" s="934"/>
      <c r="T6" s="934"/>
      <c r="U6" s="934"/>
    </row>
    <row r="7" spans="1:21" ht="57" hidden="1" customHeight="1">
      <c r="A7" s="936" t="s">
        <v>2479</v>
      </c>
      <c r="B7" s="937"/>
      <c r="C7" s="936"/>
      <c r="D7" s="936"/>
      <c r="E7" s="945"/>
      <c r="F7" s="936"/>
      <c r="G7" s="1035"/>
      <c r="H7" s="939"/>
      <c r="I7" s="939"/>
      <c r="J7" s="1752"/>
      <c r="K7" s="176"/>
      <c r="L7" s="5"/>
      <c r="M7" s="1199"/>
      <c r="N7" s="3"/>
      <c r="O7" s="939"/>
      <c r="P7" s="937"/>
      <c r="Q7" s="937"/>
      <c r="R7" s="1034" t="s">
        <v>4223</v>
      </c>
      <c r="S7" s="943"/>
      <c r="T7" s="1564"/>
      <c r="U7" s="936"/>
    </row>
    <row r="8" spans="1:21" ht="42" customHeight="1">
      <c r="A8" s="936" t="s">
        <v>2479</v>
      </c>
      <c r="B8" s="937">
        <v>45043</v>
      </c>
      <c r="C8" s="936">
        <v>5</v>
      </c>
      <c r="D8" s="936">
        <v>4</v>
      </c>
      <c r="E8" s="945"/>
      <c r="F8" s="936">
        <v>1</v>
      </c>
      <c r="G8" s="1035" t="s">
        <v>5698</v>
      </c>
      <c r="H8" s="939"/>
      <c r="I8" s="939"/>
      <c r="J8" s="1752"/>
      <c r="K8" s="176"/>
      <c r="L8" s="5"/>
      <c r="M8" s="1199" t="s">
        <v>5699</v>
      </c>
      <c r="N8" s="3" t="s">
        <v>2527</v>
      </c>
      <c r="O8" s="939" t="s">
        <v>3111</v>
      </c>
      <c r="P8" s="937">
        <v>45043</v>
      </c>
      <c r="Q8" s="937">
        <v>45043</v>
      </c>
      <c r="R8" s="1034" t="s">
        <v>4223</v>
      </c>
      <c r="S8" s="943"/>
      <c r="T8" s="1564"/>
      <c r="U8" s="936"/>
    </row>
    <row r="9" spans="1:21" ht="40.5" customHeight="1">
      <c r="A9" s="936" t="s">
        <v>2479</v>
      </c>
      <c r="B9" s="937">
        <v>45043</v>
      </c>
      <c r="C9" s="936">
        <f>C8</f>
        <v>5</v>
      </c>
      <c r="D9" s="936">
        <f>D8</f>
        <v>4</v>
      </c>
      <c r="E9" s="945"/>
      <c r="F9" s="936">
        <f>F8+1</f>
        <v>2</v>
      </c>
      <c r="G9" s="1035" t="s">
        <v>5700</v>
      </c>
      <c r="H9" s="939"/>
      <c r="I9" s="939"/>
      <c r="J9" s="1752"/>
      <c r="K9" s="176"/>
      <c r="L9" s="5"/>
      <c r="M9" s="1199" t="s">
        <v>4749</v>
      </c>
      <c r="N9" s="3" t="s">
        <v>2541</v>
      </c>
      <c r="O9" s="939" t="s">
        <v>165</v>
      </c>
      <c r="P9" s="937">
        <v>45043</v>
      </c>
      <c r="Q9" s="937">
        <v>45043</v>
      </c>
      <c r="R9" s="1034" t="s">
        <v>4223</v>
      </c>
      <c r="S9" s="943"/>
      <c r="T9" s="1564"/>
      <c r="U9" s="936"/>
    </row>
    <row r="10" spans="1:21" ht="40.5" customHeight="1">
      <c r="A10" s="936" t="s">
        <v>2479</v>
      </c>
      <c r="B10" s="937">
        <v>45043</v>
      </c>
      <c r="C10" s="936">
        <f t="shared" ref="C10:C73" si="0">C9</f>
        <v>5</v>
      </c>
      <c r="D10" s="936">
        <f t="shared" ref="D10:D73" si="1">D9</f>
        <v>4</v>
      </c>
      <c r="E10" s="945"/>
      <c r="F10" s="936">
        <f t="shared" ref="F10:F73" si="2">F9+1</f>
        <v>3</v>
      </c>
      <c r="G10" s="1035" t="s">
        <v>5701</v>
      </c>
      <c r="H10" s="939"/>
      <c r="I10" s="939"/>
      <c r="J10" s="1752"/>
      <c r="K10" s="176"/>
      <c r="L10" s="5"/>
      <c r="M10" s="1199" t="s">
        <v>4749</v>
      </c>
      <c r="N10" s="3" t="s">
        <v>2541</v>
      </c>
      <c r="O10" s="939" t="s">
        <v>165</v>
      </c>
      <c r="P10" s="937">
        <v>45043</v>
      </c>
      <c r="Q10" s="937">
        <v>45043</v>
      </c>
      <c r="R10" s="1034" t="s">
        <v>4223</v>
      </c>
      <c r="S10" s="943"/>
      <c r="T10" s="1564"/>
      <c r="U10" s="936"/>
    </row>
    <row r="11" spans="1:21" ht="36.75" customHeight="1">
      <c r="A11" s="936" t="s">
        <v>2479</v>
      </c>
      <c r="B11" s="937">
        <v>45043</v>
      </c>
      <c r="C11" s="936">
        <f t="shared" si="0"/>
        <v>5</v>
      </c>
      <c r="D11" s="936">
        <f t="shared" si="1"/>
        <v>4</v>
      </c>
      <c r="E11" s="945"/>
      <c r="F11" s="936">
        <f t="shared" si="2"/>
        <v>4</v>
      </c>
      <c r="G11" s="1035" t="s">
        <v>5702</v>
      </c>
      <c r="H11" s="939"/>
      <c r="I11" s="939"/>
      <c r="J11" s="1752"/>
      <c r="K11" s="176"/>
      <c r="L11" s="5"/>
      <c r="M11" s="1199"/>
      <c r="N11" s="3" t="s">
        <v>2666</v>
      </c>
      <c r="O11" s="939" t="s">
        <v>165</v>
      </c>
      <c r="P11" s="937">
        <v>45043</v>
      </c>
      <c r="Q11" s="937">
        <v>45043</v>
      </c>
      <c r="R11" s="1034" t="s">
        <v>4223</v>
      </c>
      <c r="S11" s="943"/>
      <c r="T11" s="1564"/>
      <c r="U11" s="936"/>
    </row>
    <row r="12" spans="1:21" ht="57" customHeight="1">
      <c r="A12" s="936" t="s">
        <v>2479</v>
      </c>
      <c r="B12" s="937">
        <v>45043</v>
      </c>
      <c r="C12" s="936">
        <f t="shared" si="0"/>
        <v>5</v>
      </c>
      <c r="D12" s="936">
        <f t="shared" si="1"/>
        <v>4</v>
      </c>
      <c r="E12" s="945" t="s">
        <v>5408</v>
      </c>
      <c r="F12" s="936">
        <f t="shared" si="2"/>
        <v>5</v>
      </c>
      <c r="G12" s="1035" t="s">
        <v>5703</v>
      </c>
      <c r="H12" s="939"/>
      <c r="I12" s="939" t="s">
        <v>550</v>
      </c>
      <c r="J12" s="1752"/>
      <c r="K12" s="176">
        <v>44987</v>
      </c>
      <c r="L12" s="5">
        <v>45048</v>
      </c>
      <c r="M12" s="1199" t="s">
        <v>5327</v>
      </c>
      <c r="N12" s="3" t="s">
        <v>1975</v>
      </c>
      <c r="O12" s="939" t="s">
        <v>165</v>
      </c>
      <c r="P12" s="937">
        <v>45043</v>
      </c>
      <c r="Q12" s="937">
        <v>45043</v>
      </c>
      <c r="R12" s="1034" t="s">
        <v>4223</v>
      </c>
      <c r="S12" s="943"/>
      <c r="T12" s="1564"/>
      <c r="U12" s="936"/>
    </row>
    <row r="13" spans="1:21" ht="70.5" customHeight="1">
      <c r="A13" s="936" t="s">
        <v>2479</v>
      </c>
      <c r="B13" s="937">
        <v>45043</v>
      </c>
      <c r="C13" s="936">
        <f t="shared" si="0"/>
        <v>5</v>
      </c>
      <c r="D13" s="936">
        <f t="shared" si="1"/>
        <v>4</v>
      </c>
      <c r="E13" s="945" t="s">
        <v>5408</v>
      </c>
      <c r="F13" s="936">
        <f t="shared" si="2"/>
        <v>6</v>
      </c>
      <c r="G13" s="1035" t="s">
        <v>5704</v>
      </c>
      <c r="H13" s="939"/>
      <c r="I13" s="939" t="s">
        <v>550</v>
      </c>
      <c r="J13" s="1752"/>
      <c r="K13" s="176">
        <v>44987</v>
      </c>
      <c r="L13" s="5">
        <v>45048</v>
      </c>
      <c r="M13" s="1199" t="s">
        <v>5327</v>
      </c>
      <c r="N13" s="3" t="s">
        <v>1975</v>
      </c>
      <c r="O13" s="939" t="s">
        <v>165</v>
      </c>
      <c r="P13" s="937">
        <v>45043</v>
      </c>
      <c r="Q13" s="937">
        <v>45043</v>
      </c>
      <c r="R13" s="1034" t="s">
        <v>4223</v>
      </c>
      <c r="S13" s="943"/>
      <c r="T13" s="1564"/>
      <c r="U13" s="936"/>
    </row>
    <row r="14" spans="1:21" ht="45" customHeight="1">
      <c r="A14" s="936" t="s">
        <v>2479</v>
      </c>
      <c r="B14" s="937">
        <v>45043</v>
      </c>
      <c r="C14" s="936">
        <f t="shared" si="0"/>
        <v>5</v>
      </c>
      <c r="D14" s="936">
        <f t="shared" si="1"/>
        <v>4</v>
      </c>
      <c r="E14" s="945"/>
      <c r="F14" s="936">
        <f t="shared" si="2"/>
        <v>7</v>
      </c>
      <c r="G14" s="1035" t="s">
        <v>5705</v>
      </c>
      <c r="H14" s="939"/>
      <c r="I14" s="939"/>
      <c r="J14" s="1752"/>
      <c r="K14" s="176"/>
      <c r="L14" s="5"/>
      <c r="M14" s="1199"/>
      <c r="N14" s="3" t="s">
        <v>1975</v>
      </c>
      <c r="O14" s="939" t="s">
        <v>165</v>
      </c>
      <c r="P14" s="937">
        <v>45043</v>
      </c>
      <c r="Q14" s="937">
        <v>45043</v>
      </c>
      <c r="R14" s="1034" t="s">
        <v>4223</v>
      </c>
      <c r="S14" s="943"/>
      <c r="T14" s="1564"/>
      <c r="U14" s="936"/>
    </row>
    <row r="15" spans="1:21" ht="45" customHeight="1">
      <c r="A15" s="936" t="s">
        <v>2479</v>
      </c>
      <c r="B15" s="937">
        <v>45043</v>
      </c>
      <c r="C15" s="936">
        <f t="shared" si="0"/>
        <v>5</v>
      </c>
      <c r="D15" s="936">
        <f t="shared" si="1"/>
        <v>4</v>
      </c>
      <c r="E15" s="945"/>
      <c r="F15" s="936">
        <f t="shared" si="2"/>
        <v>8</v>
      </c>
      <c r="G15" s="1035" t="s">
        <v>5706</v>
      </c>
      <c r="H15" s="939"/>
      <c r="I15" s="939"/>
      <c r="J15" s="1752"/>
      <c r="K15" s="176"/>
      <c r="L15" s="5"/>
      <c r="M15" s="1199" t="s">
        <v>5322</v>
      </c>
      <c r="N15" s="3" t="s">
        <v>1975</v>
      </c>
      <c r="O15" s="939" t="s">
        <v>165</v>
      </c>
      <c r="P15" s="937">
        <v>45043</v>
      </c>
      <c r="Q15" s="937">
        <v>45043</v>
      </c>
      <c r="R15" s="1034" t="s">
        <v>4223</v>
      </c>
      <c r="S15" s="943"/>
      <c r="T15" s="1564"/>
      <c r="U15" s="936"/>
    </row>
    <row r="16" spans="1:21" ht="40.5" customHeight="1">
      <c r="A16" s="936" t="s">
        <v>2479</v>
      </c>
      <c r="B16" s="937">
        <v>45043</v>
      </c>
      <c r="C16" s="936">
        <f t="shared" si="0"/>
        <v>5</v>
      </c>
      <c r="D16" s="936">
        <f t="shared" si="1"/>
        <v>4</v>
      </c>
      <c r="E16" s="945"/>
      <c r="F16" s="936">
        <f t="shared" si="2"/>
        <v>9</v>
      </c>
      <c r="G16" s="1035" t="s">
        <v>5707</v>
      </c>
      <c r="H16" s="939"/>
      <c r="I16" s="939"/>
      <c r="J16" s="1752"/>
      <c r="K16" s="176"/>
      <c r="L16" s="5"/>
      <c r="M16" s="1199" t="s">
        <v>2482</v>
      </c>
      <c r="N16" s="3" t="s">
        <v>1975</v>
      </c>
      <c r="O16" s="939" t="s">
        <v>165</v>
      </c>
      <c r="P16" s="937">
        <v>45043</v>
      </c>
      <c r="Q16" s="937">
        <v>45043</v>
      </c>
      <c r="R16" s="1034" t="s">
        <v>4223</v>
      </c>
      <c r="S16" s="943"/>
      <c r="T16" s="1564"/>
      <c r="U16" s="936"/>
    </row>
    <row r="17" spans="1:21" ht="57" customHeight="1">
      <c r="A17" s="936" t="s">
        <v>2479</v>
      </c>
      <c r="B17" s="937">
        <v>45043</v>
      </c>
      <c r="C17" s="936">
        <f t="shared" si="0"/>
        <v>5</v>
      </c>
      <c r="D17" s="936">
        <f t="shared" si="1"/>
        <v>4</v>
      </c>
      <c r="E17" s="945"/>
      <c r="F17" s="936">
        <f t="shared" si="2"/>
        <v>10</v>
      </c>
      <c r="G17" s="1035" t="s">
        <v>5708</v>
      </c>
      <c r="H17" s="939"/>
      <c r="I17" s="939" t="s">
        <v>550</v>
      </c>
      <c r="J17" s="1752"/>
      <c r="K17" s="176"/>
      <c r="L17" s="5"/>
      <c r="M17" s="1199" t="s">
        <v>5322</v>
      </c>
      <c r="N17" s="3" t="s">
        <v>1975</v>
      </c>
      <c r="O17" s="939" t="s">
        <v>165</v>
      </c>
      <c r="P17" s="937">
        <v>45043</v>
      </c>
      <c r="Q17" s="937">
        <v>45043</v>
      </c>
      <c r="R17" s="1034" t="s">
        <v>4223</v>
      </c>
      <c r="S17" s="943"/>
      <c r="T17" s="1564"/>
      <c r="U17" s="936"/>
    </row>
    <row r="18" spans="1:21" ht="42" customHeight="1">
      <c r="A18" s="936" t="s">
        <v>2479</v>
      </c>
      <c r="B18" s="937">
        <v>45043</v>
      </c>
      <c r="C18" s="936">
        <f t="shared" si="0"/>
        <v>5</v>
      </c>
      <c r="D18" s="936">
        <f t="shared" si="1"/>
        <v>4</v>
      </c>
      <c r="E18" s="945"/>
      <c r="F18" s="936">
        <f t="shared" si="2"/>
        <v>11</v>
      </c>
      <c r="G18" s="1035" t="s">
        <v>5709</v>
      </c>
      <c r="H18" s="939"/>
      <c r="I18" s="939" t="s">
        <v>550</v>
      </c>
      <c r="J18" s="1752"/>
      <c r="K18" s="176"/>
      <c r="L18" s="5"/>
      <c r="M18" s="1199" t="s">
        <v>4772</v>
      </c>
      <c r="N18" s="3" t="s">
        <v>1975</v>
      </c>
      <c r="O18" s="939" t="s">
        <v>165</v>
      </c>
      <c r="P18" s="937">
        <v>45043</v>
      </c>
      <c r="Q18" s="937">
        <v>45043</v>
      </c>
      <c r="R18" s="1034" t="s">
        <v>4223</v>
      </c>
      <c r="S18" s="943"/>
      <c r="T18" s="1564"/>
      <c r="U18" s="936"/>
    </row>
    <row r="19" spans="1:21" ht="43.5" customHeight="1">
      <c r="A19" s="936" t="s">
        <v>2479</v>
      </c>
      <c r="B19" s="937">
        <v>45043</v>
      </c>
      <c r="C19" s="936">
        <f t="shared" si="0"/>
        <v>5</v>
      </c>
      <c r="D19" s="936">
        <f t="shared" si="1"/>
        <v>4</v>
      </c>
      <c r="E19" s="945"/>
      <c r="F19" s="936">
        <f t="shared" si="2"/>
        <v>12</v>
      </c>
      <c r="G19" s="1035" t="s">
        <v>5710</v>
      </c>
      <c r="H19" s="939"/>
      <c r="I19" s="939" t="s">
        <v>550</v>
      </c>
      <c r="J19" s="1752"/>
      <c r="K19" s="176"/>
      <c r="L19" s="5"/>
      <c r="M19" s="1199" t="s">
        <v>4772</v>
      </c>
      <c r="N19" s="3" t="s">
        <v>1975</v>
      </c>
      <c r="O19" s="939" t="s">
        <v>165</v>
      </c>
      <c r="P19" s="937">
        <v>45043</v>
      </c>
      <c r="Q19" s="937">
        <v>45043</v>
      </c>
      <c r="R19" s="1034" t="s">
        <v>4223</v>
      </c>
      <c r="S19" s="943"/>
      <c r="T19" s="1564"/>
      <c r="U19" s="936"/>
    </row>
    <row r="20" spans="1:21" ht="57" customHeight="1">
      <c r="A20" s="936" t="s">
        <v>2479</v>
      </c>
      <c r="B20" s="937">
        <v>45043</v>
      </c>
      <c r="C20" s="936">
        <f t="shared" si="0"/>
        <v>5</v>
      </c>
      <c r="D20" s="936">
        <f t="shared" si="1"/>
        <v>4</v>
      </c>
      <c r="E20" s="945"/>
      <c r="F20" s="936">
        <f t="shared" si="2"/>
        <v>13</v>
      </c>
      <c r="G20" s="1035" t="s">
        <v>5711</v>
      </c>
      <c r="H20" s="939"/>
      <c r="I20" s="939" t="s">
        <v>550</v>
      </c>
      <c r="J20" s="1752"/>
      <c r="K20" s="176"/>
      <c r="L20" s="5"/>
      <c r="M20" s="1199" t="s">
        <v>4772</v>
      </c>
      <c r="N20" s="3" t="s">
        <v>1975</v>
      </c>
      <c r="O20" s="939" t="s">
        <v>165</v>
      </c>
      <c r="P20" s="937">
        <v>45043</v>
      </c>
      <c r="Q20" s="937">
        <v>45043</v>
      </c>
      <c r="R20" s="1034" t="s">
        <v>4223</v>
      </c>
      <c r="S20" s="943"/>
      <c r="T20" s="1564"/>
      <c r="U20" s="936"/>
    </row>
    <row r="21" spans="1:21" ht="40.5" customHeight="1">
      <c r="A21" s="936" t="s">
        <v>2479</v>
      </c>
      <c r="B21" s="937">
        <v>45043</v>
      </c>
      <c r="C21" s="936">
        <f t="shared" si="0"/>
        <v>5</v>
      </c>
      <c r="D21" s="936">
        <f t="shared" si="1"/>
        <v>4</v>
      </c>
      <c r="E21" s="945" t="s">
        <v>4739</v>
      </c>
      <c r="F21" s="936">
        <f t="shared" si="2"/>
        <v>14</v>
      </c>
      <c r="G21" s="1035" t="s">
        <v>5712</v>
      </c>
      <c r="H21" s="939"/>
      <c r="I21" s="939" t="s">
        <v>550</v>
      </c>
      <c r="J21" s="1752"/>
      <c r="K21" s="176"/>
      <c r="L21" s="5"/>
      <c r="M21" s="1199" t="s">
        <v>5713</v>
      </c>
      <c r="N21" s="3" t="s">
        <v>2518</v>
      </c>
      <c r="O21" s="939" t="s">
        <v>165</v>
      </c>
      <c r="P21" s="937">
        <v>45043</v>
      </c>
      <c r="Q21" s="937">
        <v>45043</v>
      </c>
      <c r="R21" s="1034" t="s">
        <v>4223</v>
      </c>
      <c r="S21" s="943"/>
      <c r="T21" s="1564"/>
      <c r="U21" s="936"/>
    </row>
    <row r="22" spans="1:21" ht="36.75" customHeight="1">
      <c r="A22" s="936" t="s">
        <v>2479</v>
      </c>
      <c r="B22" s="937">
        <v>45043</v>
      </c>
      <c r="C22" s="936">
        <f t="shared" si="0"/>
        <v>5</v>
      </c>
      <c r="D22" s="936">
        <f t="shared" si="1"/>
        <v>4</v>
      </c>
      <c r="E22" s="945"/>
      <c r="F22" s="936">
        <f t="shared" si="2"/>
        <v>15</v>
      </c>
      <c r="G22" s="1035" t="s">
        <v>5714</v>
      </c>
      <c r="H22" s="939"/>
      <c r="I22" s="939"/>
      <c r="J22" s="1752"/>
      <c r="K22" s="176"/>
      <c r="L22" s="5"/>
      <c r="M22" s="1199"/>
      <c r="N22" s="3" t="s">
        <v>2616</v>
      </c>
      <c r="O22" s="939" t="s">
        <v>165</v>
      </c>
      <c r="P22" s="937">
        <v>45043</v>
      </c>
      <c r="Q22" s="937">
        <v>45043</v>
      </c>
      <c r="R22" s="1034" t="s">
        <v>4223</v>
      </c>
      <c r="S22" s="943"/>
      <c r="T22" s="1564"/>
      <c r="U22" s="936"/>
    </row>
    <row r="23" spans="1:21" ht="38.25" customHeight="1">
      <c r="A23" s="936" t="s">
        <v>2479</v>
      </c>
      <c r="B23" s="937">
        <v>45043</v>
      </c>
      <c r="C23" s="936">
        <f t="shared" si="0"/>
        <v>5</v>
      </c>
      <c r="D23" s="936">
        <f t="shared" si="1"/>
        <v>4</v>
      </c>
      <c r="E23" s="945"/>
      <c r="F23" s="936">
        <f t="shared" si="2"/>
        <v>16</v>
      </c>
      <c r="G23" s="1035" t="s">
        <v>5715</v>
      </c>
      <c r="H23" s="939"/>
      <c r="I23" s="939" t="s">
        <v>550</v>
      </c>
      <c r="J23" s="1752"/>
      <c r="K23" s="176"/>
      <c r="L23" s="5"/>
      <c r="M23" s="1199" t="s">
        <v>2657</v>
      </c>
      <c r="N23" s="3" t="s">
        <v>1975</v>
      </c>
      <c r="O23" s="939" t="s">
        <v>165</v>
      </c>
      <c r="P23" s="937">
        <v>45043</v>
      </c>
      <c r="Q23" s="937">
        <v>45043</v>
      </c>
      <c r="R23" s="1034" t="s">
        <v>4223</v>
      </c>
      <c r="S23" s="943"/>
      <c r="T23" s="1564"/>
      <c r="U23" s="936"/>
    </row>
    <row r="24" spans="1:21" ht="57" customHeight="1">
      <c r="A24" s="936" t="s">
        <v>2479</v>
      </c>
      <c r="B24" s="937">
        <v>45043</v>
      </c>
      <c r="C24" s="936">
        <f t="shared" si="0"/>
        <v>5</v>
      </c>
      <c r="D24" s="936">
        <f t="shared" si="1"/>
        <v>4</v>
      </c>
      <c r="E24" s="944" t="s">
        <v>5389</v>
      </c>
      <c r="F24" s="936">
        <f t="shared" si="2"/>
        <v>17</v>
      </c>
      <c r="G24" s="1035" t="s">
        <v>5716</v>
      </c>
      <c r="H24" s="939"/>
      <c r="I24" s="939" t="s">
        <v>550</v>
      </c>
      <c r="J24" s="1752"/>
      <c r="K24" s="176">
        <v>45148</v>
      </c>
      <c r="L24" s="5">
        <v>45170</v>
      </c>
      <c r="M24" s="1199" t="s">
        <v>5327</v>
      </c>
      <c r="N24" s="3" t="s">
        <v>1975</v>
      </c>
      <c r="O24" s="939" t="s">
        <v>165</v>
      </c>
      <c r="P24" s="937">
        <v>45043</v>
      </c>
      <c r="Q24" s="937">
        <v>45043</v>
      </c>
      <c r="R24" s="1034" t="s">
        <v>4223</v>
      </c>
      <c r="S24" s="943"/>
      <c r="T24" s="1564" t="s">
        <v>5773</v>
      </c>
      <c r="U24" s="936"/>
    </row>
    <row r="25" spans="1:21" ht="45.75" customHeight="1">
      <c r="A25" s="936" t="s">
        <v>2479</v>
      </c>
      <c r="B25" s="937">
        <v>45043</v>
      </c>
      <c r="C25" s="936">
        <f t="shared" si="0"/>
        <v>5</v>
      </c>
      <c r="D25" s="936">
        <f t="shared" si="1"/>
        <v>4</v>
      </c>
      <c r="E25" s="945"/>
      <c r="F25" s="936">
        <f t="shared" si="2"/>
        <v>18</v>
      </c>
      <c r="G25" s="1035" t="s">
        <v>5717</v>
      </c>
      <c r="H25" s="939"/>
      <c r="I25" s="939" t="s">
        <v>550</v>
      </c>
      <c r="J25" s="1752"/>
      <c r="K25" s="176"/>
      <c r="L25" s="5"/>
      <c r="M25" s="1199" t="s">
        <v>5327</v>
      </c>
      <c r="N25" s="3" t="s">
        <v>1975</v>
      </c>
      <c r="O25" s="939" t="s">
        <v>165</v>
      </c>
      <c r="P25" s="937">
        <v>45043</v>
      </c>
      <c r="Q25" s="937">
        <v>45043</v>
      </c>
      <c r="R25" s="1034" t="s">
        <v>4223</v>
      </c>
      <c r="S25" s="943"/>
      <c r="T25" s="1564"/>
      <c r="U25" s="936"/>
    </row>
    <row r="26" spans="1:21" ht="47.25" customHeight="1">
      <c r="A26" s="936" t="s">
        <v>2479</v>
      </c>
      <c r="B26" s="937">
        <v>45043</v>
      </c>
      <c r="C26" s="936">
        <f t="shared" si="0"/>
        <v>5</v>
      </c>
      <c r="D26" s="936">
        <f t="shared" si="1"/>
        <v>4</v>
      </c>
      <c r="E26" s="945" t="s">
        <v>4739</v>
      </c>
      <c r="F26" s="936">
        <f t="shared" si="2"/>
        <v>19</v>
      </c>
      <c r="G26" s="1035" t="s">
        <v>5718</v>
      </c>
      <c r="H26" s="939"/>
      <c r="I26" s="939" t="s">
        <v>550</v>
      </c>
      <c r="J26" s="1752"/>
      <c r="K26" s="176"/>
      <c r="L26" s="5"/>
      <c r="M26" s="1199"/>
      <c r="N26" s="3" t="s">
        <v>1976</v>
      </c>
      <c r="O26" s="939" t="s">
        <v>165</v>
      </c>
      <c r="P26" s="937">
        <v>45043</v>
      </c>
      <c r="Q26" s="937">
        <v>45043</v>
      </c>
      <c r="R26" s="1034" t="s">
        <v>4223</v>
      </c>
      <c r="S26" s="943"/>
      <c r="T26" s="1564"/>
      <c r="U26" s="936"/>
    </row>
    <row r="27" spans="1:21" ht="57" customHeight="1">
      <c r="A27" s="936" t="s">
        <v>2479</v>
      </c>
      <c r="B27" s="937">
        <v>45043</v>
      </c>
      <c r="C27" s="936">
        <f t="shared" si="0"/>
        <v>5</v>
      </c>
      <c r="D27" s="936">
        <f t="shared" si="1"/>
        <v>4</v>
      </c>
      <c r="E27" s="945" t="s">
        <v>4739</v>
      </c>
      <c r="F27" s="936">
        <f t="shared" si="2"/>
        <v>20</v>
      </c>
      <c r="G27" s="1035" t="s">
        <v>5719</v>
      </c>
      <c r="H27" s="939"/>
      <c r="I27" s="939" t="s">
        <v>550</v>
      </c>
      <c r="J27" s="1752"/>
      <c r="K27" s="176" t="s">
        <v>4484</v>
      </c>
      <c r="L27" s="5"/>
      <c r="M27" s="1199"/>
      <c r="N27" s="3" t="s">
        <v>1975</v>
      </c>
      <c r="O27" s="939" t="s">
        <v>165</v>
      </c>
      <c r="P27" s="937">
        <v>45043</v>
      </c>
      <c r="Q27" s="937">
        <v>45043</v>
      </c>
      <c r="R27" s="1034" t="s">
        <v>4223</v>
      </c>
      <c r="S27" s="943"/>
      <c r="T27" s="1564"/>
      <c r="U27" s="936"/>
    </row>
    <row r="28" spans="1:21" ht="42" customHeight="1">
      <c r="A28" s="936" t="s">
        <v>2479</v>
      </c>
      <c r="B28" s="937">
        <v>45043</v>
      </c>
      <c r="C28" s="936">
        <f t="shared" si="0"/>
        <v>5</v>
      </c>
      <c r="D28" s="936">
        <f t="shared" si="1"/>
        <v>4</v>
      </c>
      <c r="E28" s="945"/>
      <c r="F28" s="936">
        <f t="shared" si="2"/>
        <v>21</v>
      </c>
      <c r="G28" s="1035" t="s">
        <v>5720</v>
      </c>
      <c r="H28" s="939"/>
      <c r="I28" s="939"/>
      <c r="J28" s="1752"/>
      <c r="K28" s="176"/>
      <c r="L28" s="5"/>
      <c r="M28" s="1199"/>
      <c r="N28" s="3" t="s">
        <v>2535</v>
      </c>
      <c r="O28" s="939" t="s">
        <v>165</v>
      </c>
      <c r="P28" s="937">
        <v>45043</v>
      </c>
      <c r="Q28" s="937">
        <v>45043</v>
      </c>
      <c r="R28" s="1034" t="s">
        <v>4223</v>
      </c>
      <c r="S28" s="943"/>
      <c r="T28" s="1564"/>
      <c r="U28" s="936"/>
    </row>
    <row r="29" spans="1:21" ht="42" customHeight="1">
      <c r="A29" s="936" t="s">
        <v>2479</v>
      </c>
      <c r="B29" s="937">
        <v>45043</v>
      </c>
      <c r="C29" s="936">
        <f t="shared" si="0"/>
        <v>5</v>
      </c>
      <c r="D29" s="936">
        <f t="shared" si="1"/>
        <v>4</v>
      </c>
      <c r="E29" s="945"/>
      <c r="F29" s="936">
        <f t="shared" si="2"/>
        <v>22</v>
      </c>
      <c r="G29" s="1035" t="s">
        <v>5693</v>
      </c>
      <c r="H29" s="939"/>
      <c r="I29" s="939"/>
      <c r="J29" s="1752"/>
      <c r="K29" s="176"/>
      <c r="L29" s="5"/>
      <c r="M29" s="1199"/>
      <c r="N29" s="3" t="s">
        <v>1975</v>
      </c>
      <c r="O29" s="939" t="s">
        <v>5721</v>
      </c>
      <c r="P29" s="937">
        <v>45043</v>
      </c>
      <c r="Q29" s="937">
        <v>45043</v>
      </c>
      <c r="R29" s="1034" t="s">
        <v>4223</v>
      </c>
      <c r="S29" s="943"/>
      <c r="T29" s="1564"/>
      <c r="U29" s="936"/>
    </row>
    <row r="30" spans="1:21" ht="39" customHeight="1">
      <c r="A30" s="936" t="s">
        <v>2479</v>
      </c>
      <c r="B30" s="937">
        <v>45043</v>
      </c>
      <c r="C30" s="936">
        <f t="shared" si="0"/>
        <v>5</v>
      </c>
      <c r="D30" s="936">
        <f t="shared" si="1"/>
        <v>4</v>
      </c>
      <c r="E30" s="945"/>
      <c r="F30" s="936">
        <f t="shared" si="2"/>
        <v>23</v>
      </c>
      <c r="G30" s="1035" t="s">
        <v>5722</v>
      </c>
      <c r="H30" s="939" t="s">
        <v>3138</v>
      </c>
      <c r="I30" s="939"/>
      <c r="J30" s="1752"/>
      <c r="K30" s="176"/>
      <c r="L30" s="5"/>
      <c r="M30" s="1199" t="s">
        <v>2503</v>
      </c>
      <c r="N30" s="3" t="s">
        <v>1975</v>
      </c>
      <c r="O30" s="939" t="s">
        <v>5721</v>
      </c>
      <c r="P30" s="937">
        <v>45043</v>
      </c>
      <c r="Q30" s="937">
        <v>45043</v>
      </c>
      <c r="R30" s="1034" t="s">
        <v>4223</v>
      </c>
      <c r="S30" s="943"/>
      <c r="T30" s="1564"/>
      <c r="U30" s="936"/>
    </row>
    <row r="31" spans="1:21" ht="40.5" customHeight="1">
      <c r="A31" s="936" t="s">
        <v>2479</v>
      </c>
      <c r="B31" s="937">
        <v>45043</v>
      </c>
      <c r="C31" s="936">
        <f t="shared" si="0"/>
        <v>5</v>
      </c>
      <c r="D31" s="936">
        <f t="shared" si="1"/>
        <v>4</v>
      </c>
      <c r="E31" s="945"/>
      <c r="F31" s="936">
        <f t="shared" si="2"/>
        <v>24</v>
      </c>
      <c r="G31" s="1035" t="s">
        <v>5724</v>
      </c>
      <c r="H31" s="939"/>
      <c r="I31" s="939" t="s">
        <v>550</v>
      </c>
      <c r="J31" s="1752"/>
      <c r="K31" s="176"/>
      <c r="L31" s="5"/>
      <c r="M31" s="1199" t="s">
        <v>2639</v>
      </c>
      <c r="N31" s="3" t="s">
        <v>2527</v>
      </c>
      <c r="O31" s="939" t="s">
        <v>246</v>
      </c>
      <c r="P31" s="937">
        <v>45043</v>
      </c>
      <c r="Q31" s="937">
        <v>45043</v>
      </c>
      <c r="R31" s="1034" t="s">
        <v>4223</v>
      </c>
      <c r="S31" s="943"/>
      <c r="T31" s="1564"/>
      <c r="U31" s="936"/>
    </row>
    <row r="32" spans="1:21" ht="43.5" customHeight="1">
      <c r="A32" s="936" t="s">
        <v>2479</v>
      </c>
      <c r="B32" s="937">
        <v>45043</v>
      </c>
      <c r="C32" s="936">
        <f t="shared" si="0"/>
        <v>5</v>
      </c>
      <c r="D32" s="936">
        <f t="shared" si="1"/>
        <v>4</v>
      </c>
      <c r="E32" s="945"/>
      <c r="F32" s="936">
        <f t="shared" si="2"/>
        <v>25</v>
      </c>
      <c r="G32" s="1035" t="s">
        <v>5725</v>
      </c>
      <c r="H32" s="939"/>
      <c r="I32" s="939" t="s">
        <v>550</v>
      </c>
      <c r="J32" s="1752"/>
      <c r="K32" s="176"/>
      <c r="L32" s="5"/>
      <c r="M32" s="1199" t="s">
        <v>2491</v>
      </c>
      <c r="N32" s="3" t="s">
        <v>1975</v>
      </c>
      <c r="O32" s="939" t="s">
        <v>246</v>
      </c>
      <c r="P32" s="937">
        <v>45043</v>
      </c>
      <c r="Q32" s="937">
        <v>45043</v>
      </c>
      <c r="R32" s="1034" t="s">
        <v>4223</v>
      </c>
      <c r="S32" s="943"/>
      <c r="T32" s="1564" t="s">
        <v>5726</v>
      </c>
      <c r="U32" s="936"/>
    </row>
    <row r="33" spans="1:21" ht="45" customHeight="1">
      <c r="A33" s="936" t="s">
        <v>2479</v>
      </c>
      <c r="B33" s="937">
        <v>45043</v>
      </c>
      <c r="C33" s="936">
        <f t="shared" si="0"/>
        <v>5</v>
      </c>
      <c r="D33" s="936">
        <f t="shared" si="1"/>
        <v>4</v>
      </c>
      <c r="E33" s="945"/>
      <c r="F33" s="936">
        <f t="shared" si="2"/>
        <v>26</v>
      </c>
      <c r="G33" s="1035" t="s">
        <v>5727</v>
      </c>
      <c r="H33" s="939"/>
      <c r="I33" s="939" t="s">
        <v>550</v>
      </c>
      <c r="J33" s="1752"/>
      <c r="K33" s="176"/>
      <c r="L33" s="5"/>
      <c r="M33" s="1199" t="s">
        <v>4773</v>
      </c>
      <c r="N33" s="3" t="s">
        <v>2527</v>
      </c>
      <c r="O33" s="939" t="s">
        <v>246</v>
      </c>
      <c r="P33" s="937">
        <v>45043</v>
      </c>
      <c r="Q33" s="937">
        <v>45043</v>
      </c>
      <c r="R33" s="1034" t="s">
        <v>4223</v>
      </c>
      <c r="S33" s="943"/>
      <c r="T33" s="1564" t="s">
        <v>5726</v>
      </c>
      <c r="U33" s="936"/>
    </row>
    <row r="34" spans="1:21" ht="57" customHeight="1">
      <c r="A34" s="936" t="s">
        <v>2479</v>
      </c>
      <c r="B34" s="937">
        <v>45043</v>
      </c>
      <c r="C34" s="936">
        <f t="shared" si="0"/>
        <v>5</v>
      </c>
      <c r="D34" s="936">
        <v>5</v>
      </c>
      <c r="E34" s="945"/>
      <c r="F34" s="936">
        <f t="shared" si="2"/>
        <v>27</v>
      </c>
      <c r="G34" s="1035" t="s">
        <v>5728</v>
      </c>
      <c r="H34" s="939"/>
      <c r="I34" s="939" t="s">
        <v>550</v>
      </c>
      <c r="J34" s="1752"/>
      <c r="K34" s="176"/>
      <c r="L34" s="5"/>
      <c r="M34" s="1199" t="s">
        <v>3144</v>
      </c>
      <c r="N34" s="3" t="s">
        <v>1975</v>
      </c>
      <c r="O34" s="939" t="s">
        <v>866</v>
      </c>
      <c r="P34" s="937">
        <v>45043</v>
      </c>
      <c r="Q34" s="937">
        <v>45043</v>
      </c>
      <c r="R34" s="1034" t="s">
        <v>4223</v>
      </c>
      <c r="S34" s="943"/>
      <c r="T34" s="1564" t="s">
        <v>5726</v>
      </c>
      <c r="U34" s="936"/>
    </row>
    <row r="35" spans="1:21" ht="57" customHeight="1">
      <c r="A35" s="936" t="s">
        <v>2479</v>
      </c>
      <c r="B35" s="937">
        <v>45043</v>
      </c>
      <c r="C35" s="936">
        <f t="shared" si="0"/>
        <v>5</v>
      </c>
      <c r="D35" s="936">
        <f t="shared" si="1"/>
        <v>5</v>
      </c>
      <c r="E35" s="945"/>
      <c r="F35" s="936">
        <f t="shared" si="2"/>
        <v>28</v>
      </c>
      <c r="G35" s="1035" t="s">
        <v>5729</v>
      </c>
      <c r="H35" s="939"/>
      <c r="I35" s="939" t="s">
        <v>550</v>
      </c>
      <c r="J35" s="1752"/>
      <c r="K35" s="176"/>
      <c r="L35" s="5"/>
      <c r="M35" s="1199" t="s">
        <v>2644</v>
      </c>
      <c r="N35" s="3" t="s">
        <v>2541</v>
      </c>
      <c r="O35" s="939" t="s">
        <v>76</v>
      </c>
      <c r="P35" s="937">
        <v>45043</v>
      </c>
      <c r="Q35" s="937">
        <v>45043</v>
      </c>
      <c r="R35" s="1034" t="s">
        <v>4223</v>
      </c>
      <c r="S35" s="943"/>
      <c r="T35" s="1564"/>
      <c r="U35" s="936"/>
    </row>
    <row r="36" spans="1:21" ht="69" customHeight="1">
      <c r="A36" s="936" t="s">
        <v>2479</v>
      </c>
      <c r="B36" s="937">
        <v>45043</v>
      </c>
      <c r="C36" s="936">
        <f t="shared" si="0"/>
        <v>5</v>
      </c>
      <c r="D36" s="936">
        <f t="shared" si="1"/>
        <v>5</v>
      </c>
      <c r="E36" s="945"/>
      <c r="F36" s="936">
        <f t="shared" si="2"/>
        <v>29</v>
      </c>
      <c r="G36" s="1035" t="s">
        <v>5730</v>
      </c>
      <c r="H36" s="939"/>
      <c r="I36" s="939"/>
      <c r="J36" s="1752"/>
      <c r="K36" s="176"/>
      <c r="L36" s="5"/>
      <c r="M36" s="1199" t="s">
        <v>5421</v>
      </c>
      <c r="N36" s="3" t="s">
        <v>2541</v>
      </c>
      <c r="O36" s="939" t="s">
        <v>76</v>
      </c>
      <c r="P36" s="937">
        <v>45043</v>
      </c>
      <c r="Q36" s="937">
        <v>45043</v>
      </c>
      <c r="R36" s="1034" t="s">
        <v>4223</v>
      </c>
      <c r="S36" s="943"/>
      <c r="T36" s="1564"/>
      <c r="U36" s="936"/>
    </row>
    <row r="37" spans="1:21" ht="72" customHeight="1">
      <c r="A37" s="936" t="s">
        <v>2479</v>
      </c>
      <c r="B37" s="937">
        <v>45043</v>
      </c>
      <c r="C37" s="936">
        <f t="shared" si="0"/>
        <v>5</v>
      </c>
      <c r="D37" s="936">
        <f t="shared" si="1"/>
        <v>5</v>
      </c>
      <c r="E37" s="945"/>
      <c r="F37" s="936">
        <f t="shared" si="2"/>
        <v>30</v>
      </c>
      <c r="G37" s="1035" t="s">
        <v>5731</v>
      </c>
      <c r="H37" s="939"/>
      <c r="I37" s="939"/>
      <c r="J37" s="1752"/>
      <c r="K37" s="176"/>
      <c r="L37" s="5"/>
      <c r="M37" s="1199" t="s">
        <v>2622</v>
      </c>
      <c r="N37" s="3" t="s">
        <v>2527</v>
      </c>
      <c r="O37" s="939" t="s">
        <v>76</v>
      </c>
      <c r="P37" s="937">
        <v>45043</v>
      </c>
      <c r="Q37" s="937">
        <v>45043</v>
      </c>
      <c r="R37" s="1034" t="s">
        <v>4223</v>
      </c>
      <c r="S37" s="943"/>
      <c r="T37" s="1564"/>
      <c r="U37" s="936"/>
    </row>
    <row r="38" spans="1:21" ht="57" customHeight="1">
      <c r="A38" s="936" t="s">
        <v>2479</v>
      </c>
      <c r="B38" s="937">
        <v>45043</v>
      </c>
      <c r="C38" s="936">
        <f t="shared" si="0"/>
        <v>5</v>
      </c>
      <c r="D38" s="936">
        <f t="shared" si="1"/>
        <v>5</v>
      </c>
      <c r="E38" s="945"/>
      <c r="F38" s="936">
        <f t="shared" si="2"/>
        <v>31</v>
      </c>
      <c r="G38" s="1035" t="s">
        <v>5732</v>
      </c>
      <c r="H38" s="939"/>
      <c r="I38" s="939"/>
      <c r="J38" s="1752"/>
      <c r="K38" s="176"/>
      <c r="L38" s="5"/>
      <c r="M38" s="1199" t="s">
        <v>2538</v>
      </c>
      <c r="N38" s="3" t="s">
        <v>2527</v>
      </c>
      <c r="O38" s="939" t="s">
        <v>76</v>
      </c>
      <c r="P38" s="937">
        <v>45043</v>
      </c>
      <c r="Q38" s="937">
        <v>45043</v>
      </c>
      <c r="R38" s="1034" t="s">
        <v>4223</v>
      </c>
      <c r="S38" s="943"/>
      <c r="T38" s="1564"/>
      <c r="U38" s="936"/>
    </row>
    <row r="39" spans="1:21" ht="57" customHeight="1">
      <c r="A39" s="936" t="s">
        <v>2479</v>
      </c>
      <c r="B39" s="937">
        <v>45043</v>
      </c>
      <c r="C39" s="936">
        <f t="shared" si="0"/>
        <v>5</v>
      </c>
      <c r="D39" s="936">
        <f t="shared" si="1"/>
        <v>5</v>
      </c>
      <c r="E39" s="945"/>
      <c r="F39" s="936">
        <f t="shared" si="2"/>
        <v>32</v>
      </c>
      <c r="G39" s="1035" t="s">
        <v>5733</v>
      </c>
      <c r="H39" s="939"/>
      <c r="I39" s="939"/>
      <c r="J39" s="1752"/>
      <c r="K39" s="176"/>
      <c r="L39" s="5"/>
      <c r="M39" s="1199" t="s">
        <v>2538</v>
      </c>
      <c r="N39" s="3" t="s">
        <v>2527</v>
      </c>
      <c r="O39" s="939" t="s">
        <v>76</v>
      </c>
      <c r="P39" s="937">
        <v>45043</v>
      </c>
      <c r="Q39" s="937">
        <v>45043</v>
      </c>
      <c r="R39" s="1034" t="s">
        <v>4223</v>
      </c>
      <c r="S39" s="943"/>
      <c r="T39" s="1564"/>
      <c r="U39" s="936"/>
    </row>
    <row r="40" spans="1:21" ht="57" customHeight="1">
      <c r="A40" s="936" t="s">
        <v>2479</v>
      </c>
      <c r="B40" s="937">
        <v>45043</v>
      </c>
      <c r="C40" s="936">
        <f t="shared" si="0"/>
        <v>5</v>
      </c>
      <c r="D40" s="936">
        <f t="shared" si="1"/>
        <v>5</v>
      </c>
      <c r="E40" s="945"/>
      <c r="F40" s="936">
        <f t="shared" si="2"/>
        <v>33</v>
      </c>
      <c r="G40" s="1035" t="s">
        <v>5734</v>
      </c>
      <c r="H40" s="939"/>
      <c r="I40" s="939"/>
      <c r="J40" s="1752"/>
      <c r="K40" s="176"/>
      <c r="L40" s="5"/>
      <c r="M40" s="1199" t="s">
        <v>2538</v>
      </c>
      <c r="N40" s="3" t="s">
        <v>2527</v>
      </c>
      <c r="O40" s="939" t="s">
        <v>76</v>
      </c>
      <c r="P40" s="937">
        <v>45043</v>
      </c>
      <c r="Q40" s="937">
        <v>45043</v>
      </c>
      <c r="R40" s="1034" t="s">
        <v>4223</v>
      </c>
      <c r="S40" s="943"/>
      <c r="T40" s="1564"/>
      <c r="U40" s="936"/>
    </row>
    <row r="41" spans="1:21" ht="57" customHeight="1">
      <c r="A41" s="936" t="s">
        <v>2479</v>
      </c>
      <c r="B41" s="937">
        <v>45043</v>
      </c>
      <c r="C41" s="936">
        <f t="shared" si="0"/>
        <v>5</v>
      </c>
      <c r="D41" s="936">
        <f t="shared" si="1"/>
        <v>5</v>
      </c>
      <c r="E41" s="945"/>
      <c r="F41" s="936">
        <f t="shared" si="2"/>
        <v>34</v>
      </c>
      <c r="G41" s="1035" t="s">
        <v>5735</v>
      </c>
      <c r="H41" s="939"/>
      <c r="I41" s="939"/>
      <c r="J41" s="1752"/>
      <c r="K41" s="176"/>
      <c r="L41" s="5"/>
      <c r="M41" s="1199" t="s">
        <v>5327</v>
      </c>
      <c r="N41" s="3" t="s">
        <v>1975</v>
      </c>
      <c r="O41" s="939" t="s">
        <v>76</v>
      </c>
      <c r="P41" s="937">
        <v>45043</v>
      </c>
      <c r="Q41" s="937">
        <v>45043</v>
      </c>
      <c r="R41" s="1034" t="s">
        <v>4223</v>
      </c>
      <c r="S41" s="943"/>
      <c r="T41" s="1564"/>
      <c r="U41" s="936"/>
    </row>
    <row r="42" spans="1:21" ht="57" customHeight="1">
      <c r="A42" s="936" t="s">
        <v>2479</v>
      </c>
      <c r="B42" s="937">
        <v>45043</v>
      </c>
      <c r="C42" s="936">
        <f t="shared" si="0"/>
        <v>5</v>
      </c>
      <c r="D42" s="936">
        <f t="shared" si="1"/>
        <v>5</v>
      </c>
      <c r="E42" s="945"/>
      <c r="F42" s="936">
        <f t="shared" si="2"/>
        <v>35</v>
      </c>
      <c r="G42" s="1035" t="s">
        <v>5736</v>
      </c>
      <c r="H42" s="939"/>
      <c r="I42" s="939"/>
      <c r="J42" s="1752"/>
      <c r="K42" s="176"/>
      <c r="L42" s="5"/>
      <c r="M42" s="1199" t="s">
        <v>2569</v>
      </c>
      <c r="N42" s="3" t="s">
        <v>2580</v>
      </c>
      <c r="O42" s="939" t="s">
        <v>76</v>
      </c>
      <c r="P42" s="937">
        <v>45043</v>
      </c>
      <c r="Q42" s="937">
        <v>45043</v>
      </c>
      <c r="R42" s="1034" t="s">
        <v>4223</v>
      </c>
      <c r="S42" s="943"/>
      <c r="T42" s="1564"/>
      <c r="U42" s="936"/>
    </row>
    <row r="43" spans="1:21" ht="57" customHeight="1">
      <c r="A43" s="936" t="s">
        <v>2479</v>
      </c>
      <c r="B43" s="937">
        <v>45043</v>
      </c>
      <c r="C43" s="936">
        <f t="shared" si="0"/>
        <v>5</v>
      </c>
      <c r="D43" s="936">
        <f t="shared" si="1"/>
        <v>5</v>
      </c>
      <c r="E43" s="945"/>
      <c r="F43" s="936">
        <f t="shared" si="2"/>
        <v>36</v>
      </c>
      <c r="G43" s="1035" t="s">
        <v>5737</v>
      </c>
      <c r="H43" s="939"/>
      <c r="I43" s="939"/>
      <c r="J43" s="1752"/>
      <c r="K43" s="176"/>
      <c r="L43" s="5"/>
      <c r="M43" s="1199" t="s">
        <v>2538</v>
      </c>
      <c r="N43" s="3" t="s">
        <v>1975</v>
      </c>
      <c r="O43" s="939" t="s">
        <v>76</v>
      </c>
      <c r="P43" s="937">
        <v>45043</v>
      </c>
      <c r="Q43" s="937">
        <v>45043</v>
      </c>
      <c r="R43" s="1034" t="s">
        <v>4223</v>
      </c>
      <c r="S43" s="943"/>
      <c r="T43" s="1564"/>
      <c r="U43" s="936"/>
    </row>
    <row r="44" spans="1:21" ht="57" customHeight="1">
      <c r="A44" s="936" t="s">
        <v>2479</v>
      </c>
      <c r="B44" s="937">
        <v>45043</v>
      </c>
      <c r="C44" s="936">
        <f t="shared" si="0"/>
        <v>5</v>
      </c>
      <c r="D44" s="936">
        <f t="shared" si="1"/>
        <v>5</v>
      </c>
      <c r="E44" s="945"/>
      <c r="F44" s="936">
        <f t="shared" si="2"/>
        <v>37</v>
      </c>
      <c r="G44" s="1035" t="s">
        <v>5738</v>
      </c>
      <c r="H44" s="939"/>
      <c r="I44" s="939"/>
      <c r="J44" s="1752"/>
      <c r="K44" s="176"/>
      <c r="L44" s="5"/>
      <c r="M44" s="1199" t="s">
        <v>2717</v>
      </c>
      <c r="N44" s="3" t="s">
        <v>1975</v>
      </c>
      <c r="O44" s="939" t="s">
        <v>76</v>
      </c>
      <c r="P44" s="937">
        <v>45043</v>
      </c>
      <c r="Q44" s="937">
        <v>45043</v>
      </c>
      <c r="R44" s="1034" t="s">
        <v>4223</v>
      </c>
      <c r="S44" s="943"/>
      <c r="T44" s="1564"/>
      <c r="U44" s="936"/>
    </row>
    <row r="45" spans="1:21" ht="57" customHeight="1">
      <c r="A45" s="936" t="s">
        <v>2479</v>
      </c>
      <c r="B45" s="937">
        <v>45043</v>
      </c>
      <c r="C45" s="936">
        <f t="shared" si="0"/>
        <v>5</v>
      </c>
      <c r="D45" s="936">
        <f t="shared" si="1"/>
        <v>5</v>
      </c>
      <c r="E45" s="945"/>
      <c r="F45" s="936">
        <f t="shared" si="2"/>
        <v>38</v>
      </c>
      <c r="G45" s="1035" t="s">
        <v>5739</v>
      </c>
      <c r="H45" s="939"/>
      <c r="I45" s="939"/>
      <c r="J45" s="1752"/>
      <c r="K45" s="176"/>
      <c r="L45" s="5"/>
      <c r="M45" s="1199" t="s">
        <v>4782</v>
      </c>
      <c r="N45" s="3" t="s">
        <v>1976</v>
      </c>
      <c r="O45" s="939" t="s">
        <v>76</v>
      </c>
      <c r="P45" s="937">
        <v>45043</v>
      </c>
      <c r="Q45" s="937">
        <v>45043</v>
      </c>
      <c r="R45" s="1034" t="s">
        <v>4223</v>
      </c>
      <c r="S45" s="943"/>
      <c r="T45" s="1564"/>
      <c r="U45" s="936"/>
    </row>
    <row r="46" spans="1:21" ht="57" customHeight="1">
      <c r="A46" s="936" t="s">
        <v>2479</v>
      </c>
      <c r="B46" s="937">
        <v>45043</v>
      </c>
      <c r="C46" s="936">
        <f t="shared" si="0"/>
        <v>5</v>
      </c>
      <c r="D46" s="936">
        <f t="shared" si="1"/>
        <v>5</v>
      </c>
      <c r="E46" s="945"/>
      <c r="F46" s="936">
        <f t="shared" si="2"/>
        <v>39</v>
      </c>
      <c r="G46" s="1035" t="s">
        <v>5740</v>
      </c>
      <c r="H46" s="939"/>
      <c r="I46" s="939" t="s">
        <v>550</v>
      </c>
      <c r="J46" s="1752"/>
      <c r="K46" s="176"/>
      <c r="L46" s="5"/>
      <c r="M46" s="1199" t="s">
        <v>4900</v>
      </c>
      <c r="N46" s="3" t="s">
        <v>2541</v>
      </c>
      <c r="O46" s="939" t="s">
        <v>76</v>
      </c>
      <c r="P46" s="937">
        <v>45043</v>
      </c>
      <c r="Q46" s="937">
        <v>45043</v>
      </c>
      <c r="R46" s="1034" t="s">
        <v>4223</v>
      </c>
      <c r="S46" s="943"/>
      <c r="T46" s="1564"/>
      <c r="U46" s="936"/>
    </row>
    <row r="47" spans="1:21" ht="57" customHeight="1">
      <c r="A47" s="936" t="s">
        <v>2479</v>
      </c>
      <c r="B47" s="937">
        <v>45043</v>
      </c>
      <c r="C47" s="936">
        <f t="shared" si="0"/>
        <v>5</v>
      </c>
      <c r="D47" s="936">
        <f t="shared" si="1"/>
        <v>5</v>
      </c>
      <c r="E47" s="945"/>
      <c r="F47" s="936">
        <f t="shared" si="2"/>
        <v>40</v>
      </c>
      <c r="G47" s="1035" t="s">
        <v>5741</v>
      </c>
      <c r="H47" s="939"/>
      <c r="I47" s="939" t="s">
        <v>550</v>
      </c>
      <c r="J47" s="1752"/>
      <c r="K47" s="176"/>
      <c r="L47" s="5"/>
      <c r="M47" s="1199" t="s">
        <v>5327</v>
      </c>
      <c r="N47" s="3" t="s">
        <v>1975</v>
      </c>
      <c r="O47" s="939" t="s">
        <v>76</v>
      </c>
      <c r="P47" s="937">
        <v>45043</v>
      </c>
      <c r="Q47" s="937">
        <v>45043</v>
      </c>
      <c r="R47" s="1034" t="s">
        <v>4223</v>
      </c>
      <c r="S47" s="943"/>
      <c r="T47" s="1564"/>
      <c r="U47" s="936"/>
    </row>
    <row r="48" spans="1:21" ht="57" customHeight="1">
      <c r="A48" s="936" t="s">
        <v>2479</v>
      </c>
      <c r="B48" s="937">
        <v>45043</v>
      </c>
      <c r="C48" s="936">
        <f t="shared" si="0"/>
        <v>5</v>
      </c>
      <c r="D48" s="936">
        <f t="shared" si="1"/>
        <v>5</v>
      </c>
      <c r="E48" s="945"/>
      <c r="F48" s="936">
        <f t="shared" si="2"/>
        <v>41</v>
      </c>
      <c r="G48" s="1035" t="s">
        <v>5742</v>
      </c>
      <c r="H48" s="939"/>
      <c r="I48" s="939"/>
      <c r="J48" s="1752"/>
      <c r="K48" s="176"/>
      <c r="L48" s="5"/>
      <c r="M48" s="1199" t="s">
        <v>5421</v>
      </c>
      <c r="N48" s="3" t="s">
        <v>2541</v>
      </c>
      <c r="O48" s="939" t="s">
        <v>76</v>
      </c>
      <c r="P48" s="937">
        <v>45043</v>
      </c>
      <c r="Q48" s="937">
        <v>45043</v>
      </c>
      <c r="R48" s="1034" t="s">
        <v>4223</v>
      </c>
      <c r="S48" s="943"/>
      <c r="T48" s="1564"/>
      <c r="U48" s="936"/>
    </row>
    <row r="49" spans="1:21" ht="57" customHeight="1">
      <c r="A49" s="936" t="s">
        <v>2479</v>
      </c>
      <c r="B49" s="937">
        <v>45043</v>
      </c>
      <c r="C49" s="936">
        <f t="shared" si="0"/>
        <v>5</v>
      </c>
      <c r="D49" s="936">
        <f t="shared" si="1"/>
        <v>5</v>
      </c>
      <c r="E49" s="945"/>
      <c r="F49" s="936">
        <f t="shared" si="2"/>
        <v>42</v>
      </c>
      <c r="G49" s="1035" t="s">
        <v>5743</v>
      </c>
      <c r="H49" s="939"/>
      <c r="I49" s="939"/>
      <c r="J49" s="1752"/>
      <c r="K49" s="176"/>
      <c r="L49" s="5"/>
      <c r="M49" s="1199" t="s">
        <v>4101</v>
      </c>
      <c r="N49" s="3" t="s">
        <v>2578</v>
      </c>
      <c r="O49" s="939" t="s">
        <v>5051</v>
      </c>
      <c r="P49" s="937">
        <v>45043</v>
      </c>
      <c r="Q49" s="937">
        <v>45043</v>
      </c>
      <c r="R49" s="1034" t="s">
        <v>4223</v>
      </c>
      <c r="S49" s="943"/>
      <c r="T49" s="1564"/>
      <c r="U49" s="936"/>
    </row>
    <row r="50" spans="1:21" ht="57" customHeight="1">
      <c r="A50" s="936" t="s">
        <v>2479</v>
      </c>
      <c r="B50" s="937">
        <v>45043</v>
      </c>
      <c r="C50" s="936">
        <f t="shared" si="0"/>
        <v>5</v>
      </c>
      <c r="D50" s="936">
        <f t="shared" si="1"/>
        <v>5</v>
      </c>
      <c r="E50" s="945"/>
      <c r="F50" s="936">
        <f t="shared" si="2"/>
        <v>43</v>
      </c>
      <c r="G50" s="1035" t="s">
        <v>5744</v>
      </c>
      <c r="H50" s="939"/>
      <c r="I50" s="939"/>
      <c r="J50" s="1752"/>
      <c r="K50" s="176"/>
      <c r="L50" s="5"/>
      <c r="M50" s="1199" t="s">
        <v>5745</v>
      </c>
      <c r="N50" s="3" t="s">
        <v>2509</v>
      </c>
      <c r="O50" s="939" t="s">
        <v>5746</v>
      </c>
      <c r="P50" s="937">
        <v>45043</v>
      </c>
      <c r="Q50" s="937">
        <v>45043</v>
      </c>
      <c r="R50" s="1034" t="s">
        <v>4223</v>
      </c>
      <c r="S50" s="943"/>
      <c r="T50" s="1564"/>
      <c r="U50" s="936"/>
    </row>
    <row r="51" spans="1:21" ht="57" customHeight="1">
      <c r="A51" s="936" t="s">
        <v>2479</v>
      </c>
      <c r="B51" s="937">
        <v>45043</v>
      </c>
      <c r="C51" s="936">
        <f t="shared" si="0"/>
        <v>5</v>
      </c>
      <c r="D51" s="936">
        <f t="shared" si="1"/>
        <v>5</v>
      </c>
      <c r="E51" s="945"/>
      <c r="F51" s="936">
        <f t="shared" si="2"/>
        <v>44</v>
      </c>
      <c r="G51" s="1035" t="s">
        <v>5747</v>
      </c>
      <c r="H51" s="939"/>
      <c r="I51" s="939"/>
      <c r="J51" s="1752"/>
      <c r="K51" s="176"/>
      <c r="L51" s="5"/>
      <c r="M51" s="1199" t="s">
        <v>4697</v>
      </c>
      <c r="N51" s="3" t="s">
        <v>2509</v>
      </c>
      <c r="O51" s="939" t="s">
        <v>5746</v>
      </c>
      <c r="P51" s="937">
        <v>45043</v>
      </c>
      <c r="Q51" s="937">
        <v>45043</v>
      </c>
      <c r="R51" s="1034" t="s">
        <v>4223</v>
      </c>
      <c r="S51" s="943"/>
      <c r="T51" s="1564"/>
      <c r="U51" s="936"/>
    </row>
    <row r="52" spans="1:21" ht="57" customHeight="1">
      <c r="A52" s="936" t="s">
        <v>2479</v>
      </c>
      <c r="B52" s="937">
        <v>45043</v>
      </c>
      <c r="C52" s="936">
        <f t="shared" si="0"/>
        <v>5</v>
      </c>
      <c r="D52" s="936">
        <f t="shared" si="1"/>
        <v>5</v>
      </c>
      <c r="E52" s="945"/>
      <c r="F52" s="936">
        <f t="shared" si="2"/>
        <v>45</v>
      </c>
      <c r="G52" s="1035" t="s">
        <v>5748</v>
      </c>
      <c r="H52" s="939"/>
      <c r="I52" s="939"/>
      <c r="J52" s="1752"/>
      <c r="K52" s="176"/>
      <c r="L52" s="5"/>
      <c r="M52" s="1199" t="s">
        <v>5749</v>
      </c>
      <c r="N52" s="3" t="s">
        <v>2666</v>
      </c>
      <c r="O52" s="939" t="s">
        <v>5746</v>
      </c>
      <c r="P52" s="937">
        <v>45043</v>
      </c>
      <c r="Q52" s="937">
        <v>45043</v>
      </c>
      <c r="R52" s="1034" t="s">
        <v>4223</v>
      </c>
      <c r="S52" s="943"/>
      <c r="T52" s="1564"/>
      <c r="U52" s="936"/>
    </row>
    <row r="53" spans="1:21" ht="72" customHeight="1">
      <c r="A53" s="936" t="s">
        <v>2479</v>
      </c>
      <c r="B53" s="937">
        <v>45043</v>
      </c>
      <c r="C53" s="936">
        <f t="shared" si="0"/>
        <v>5</v>
      </c>
      <c r="D53" s="936">
        <f t="shared" si="1"/>
        <v>5</v>
      </c>
      <c r="E53" s="945"/>
      <c r="F53" s="936">
        <f t="shared" si="2"/>
        <v>46</v>
      </c>
      <c r="G53" s="1035" t="s">
        <v>5750</v>
      </c>
      <c r="H53" s="939"/>
      <c r="I53" s="939"/>
      <c r="J53" s="1752"/>
      <c r="K53" s="176"/>
      <c r="L53" s="5"/>
      <c r="M53" s="1199" t="s">
        <v>5713</v>
      </c>
      <c r="N53" s="3" t="s">
        <v>2666</v>
      </c>
      <c r="O53" s="939" t="s">
        <v>5746</v>
      </c>
      <c r="P53" s="937">
        <v>45043</v>
      </c>
      <c r="Q53" s="937">
        <v>45043</v>
      </c>
      <c r="R53" s="1034" t="s">
        <v>4223</v>
      </c>
      <c r="S53" s="943"/>
      <c r="T53" s="1564"/>
      <c r="U53" s="936"/>
    </row>
    <row r="54" spans="1:21" ht="57" customHeight="1">
      <c r="A54" s="936" t="s">
        <v>2479</v>
      </c>
      <c r="B54" s="937">
        <v>45043</v>
      </c>
      <c r="C54" s="936">
        <f t="shared" si="0"/>
        <v>5</v>
      </c>
      <c r="D54" s="936">
        <f t="shared" si="1"/>
        <v>5</v>
      </c>
      <c r="E54" s="945"/>
      <c r="F54" s="936">
        <f t="shared" si="2"/>
        <v>47</v>
      </c>
      <c r="G54" s="1035" t="s">
        <v>5751</v>
      </c>
      <c r="H54" s="939"/>
      <c r="I54" s="939"/>
      <c r="J54" s="1752"/>
      <c r="K54" s="176"/>
      <c r="L54" s="5"/>
      <c r="M54" s="1199" t="s">
        <v>4688</v>
      </c>
      <c r="N54" s="3" t="s">
        <v>2509</v>
      </c>
      <c r="O54" s="939" t="s">
        <v>351</v>
      </c>
      <c r="P54" s="937">
        <v>45043</v>
      </c>
      <c r="Q54" s="937">
        <v>45043</v>
      </c>
      <c r="R54" s="1034" t="s">
        <v>4223</v>
      </c>
      <c r="S54" s="943"/>
      <c r="T54" s="1564"/>
      <c r="U54" s="936"/>
    </row>
    <row r="55" spans="1:21" ht="57" customHeight="1">
      <c r="A55" s="936" t="s">
        <v>2479</v>
      </c>
      <c r="B55" s="937">
        <v>45043</v>
      </c>
      <c r="C55" s="936">
        <f t="shared" si="0"/>
        <v>5</v>
      </c>
      <c r="D55" s="936">
        <f t="shared" si="1"/>
        <v>5</v>
      </c>
      <c r="E55" s="945"/>
      <c r="F55" s="936">
        <f t="shared" si="2"/>
        <v>48</v>
      </c>
      <c r="G55" s="1035" t="s">
        <v>5752</v>
      </c>
      <c r="H55" s="939"/>
      <c r="I55" s="939"/>
      <c r="J55" s="1752"/>
      <c r="K55" s="176"/>
      <c r="L55" s="5"/>
      <c r="M55" s="1199"/>
      <c r="N55" s="3" t="s">
        <v>2509</v>
      </c>
      <c r="O55" s="939" t="s">
        <v>351</v>
      </c>
      <c r="P55" s="937">
        <v>45043</v>
      </c>
      <c r="Q55" s="937">
        <v>45043</v>
      </c>
      <c r="R55" s="1034" t="s">
        <v>4223</v>
      </c>
      <c r="S55" s="943"/>
      <c r="T55" s="1564"/>
      <c r="U55" s="936"/>
    </row>
    <row r="56" spans="1:21" ht="57" customHeight="1">
      <c r="A56" s="936" t="s">
        <v>2479</v>
      </c>
      <c r="B56" s="937">
        <v>45043</v>
      </c>
      <c r="C56" s="936">
        <f t="shared" si="0"/>
        <v>5</v>
      </c>
      <c r="D56" s="936">
        <f t="shared" si="1"/>
        <v>5</v>
      </c>
      <c r="E56" s="945"/>
      <c r="F56" s="936">
        <f t="shared" si="2"/>
        <v>49</v>
      </c>
      <c r="G56" s="1035" t="s">
        <v>5752</v>
      </c>
      <c r="H56" s="939"/>
      <c r="I56" s="939"/>
      <c r="J56" s="1752"/>
      <c r="K56" s="176"/>
      <c r="L56" s="5"/>
      <c r="M56" s="1199"/>
      <c r="N56" s="3" t="s">
        <v>2666</v>
      </c>
      <c r="O56" s="939" t="s">
        <v>351</v>
      </c>
      <c r="P56" s="937">
        <v>45043</v>
      </c>
      <c r="Q56" s="937">
        <v>45043</v>
      </c>
      <c r="R56" s="1034" t="s">
        <v>4223</v>
      </c>
      <c r="S56" s="943"/>
      <c r="T56" s="1564"/>
      <c r="U56" s="936"/>
    </row>
    <row r="57" spans="1:21" ht="57" customHeight="1">
      <c r="A57" s="936" t="s">
        <v>2479</v>
      </c>
      <c r="B57" s="937">
        <v>45043</v>
      </c>
      <c r="C57" s="936">
        <f t="shared" si="0"/>
        <v>5</v>
      </c>
      <c r="D57" s="936">
        <f t="shared" si="1"/>
        <v>5</v>
      </c>
      <c r="E57" s="945"/>
      <c r="F57" s="936">
        <f t="shared" si="2"/>
        <v>50</v>
      </c>
      <c r="G57" s="1035" t="s">
        <v>5753</v>
      </c>
      <c r="H57" s="939"/>
      <c r="I57" s="939"/>
      <c r="J57" s="1752"/>
      <c r="K57" s="176"/>
      <c r="L57" s="5"/>
      <c r="M57" s="1199" t="s">
        <v>5345</v>
      </c>
      <c r="N57" s="3" t="s">
        <v>2541</v>
      </c>
      <c r="O57" s="939" t="s">
        <v>351</v>
      </c>
      <c r="P57" s="937">
        <v>45043</v>
      </c>
      <c r="Q57" s="937">
        <v>45043</v>
      </c>
      <c r="R57" s="1034" t="s">
        <v>4223</v>
      </c>
      <c r="S57" s="943"/>
      <c r="T57" s="1564"/>
      <c r="U57" s="936"/>
    </row>
    <row r="58" spans="1:21" ht="57" customHeight="1">
      <c r="A58" s="936" t="s">
        <v>2479</v>
      </c>
      <c r="B58" s="937">
        <v>45043</v>
      </c>
      <c r="C58" s="936">
        <f t="shared" si="0"/>
        <v>5</v>
      </c>
      <c r="D58" s="936">
        <f t="shared" si="1"/>
        <v>5</v>
      </c>
      <c r="E58" s="945"/>
      <c r="F58" s="936">
        <f t="shared" si="2"/>
        <v>51</v>
      </c>
      <c r="G58" s="1035" t="s">
        <v>5754</v>
      </c>
      <c r="H58" s="939"/>
      <c r="I58" s="939"/>
      <c r="J58" s="1752"/>
      <c r="K58" s="176"/>
      <c r="L58" s="5"/>
      <c r="M58" s="1199" t="s">
        <v>4749</v>
      </c>
      <c r="N58" s="3" t="s">
        <v>2527</v>
      </c>
      <c r="O58" s="939" t="s">
        <v>351</v>
      </c>
      <c r="P58" s="937">
        <v>45043</v>
      </c>
      <c r="Q58" s="937">
        <v>45043</v>
      </c>
      <c r="R58" s="1034" t="s">
        <v>4223</v>
      </c>
      <c r="S58" s="943"/>
      <c r="T58" s="1564"/>
      <c r="U58" s="936"/>
    </row>
    <row r="59" spans="1:21" ht="57" customHeight="1">
      <c r="A59" s="936" t="s">
        <v>2479</v>
      </c>
      <c r="B59" s="937">
        <v>45043</v>
      </c>
      <c r="C59" s="936">
        <f t="shared" si="0"/>
        <v>5</v>
      </c>
      <c r="D59" s="936">
        <f t="shared" si="1"/>
        <v>5</v>
      </c>
      <c r="E59" s="945"/>
      <c r="F59" s="936">
        <f t="shared" si="2"/>
        <v>52</v>
      </c>
      <c r="G59" s="1035" t="s">
        <v>5755</v>
      </c>
      <c r="H59" s="939"/>
      <c r="I59" s="939"/>
      <c r="J59" s="1752"/>
      <c r="K59" s="176"/>
      <c r="L59" s="5"/>
      <c r="M59" s="1199" t="s">
        <v>3162</v>
      </c>
      <c r="N59" s="3" t="s">
        <v>1975</v>
      </c>
      <c r="O59" s="939" t="s">
        <v>351</v>
      </c>
      <c r="P59" s="937">
        <v>45043</v>
      </c>
      <c r="Q59" s="937">
        <v>45043</v>
      </c>
      <c r="R59" s="1034" t="s">
        <v>4223</v>
      </c>
      <c r="S59" s="943"/>
      <c r="T59" s="1564"/>
      <c r="U59" s="936"/>
    </row>
    <row r="60" spans="1:21" ht="57" customHeight="1">
      <c r="A60" s="936" t="s">
        <v>2479</v>
      </c>
      <c r="B60" s="937">
        <v>45043</v>
      </c>
      <c r="C60" s="936">
        <f t="shared" si="0"/>
        <v>5</v>
      </c>
      <c r="D60" s="936">
        <f t="shared" si="1"/>
        <v>5</v>
      </c>
      <c r="E60" s="945"/>
      <c r="F60" s="936">
        <f t="shared" si="2"/>
        <v>53</v>
      </c>
      <c r="G60" s="1035" t="s">
        <v>5756</v>
      </c>
      <c r="H60" s="939"/>
      <c r="I60" s="939"/>
      <c r="J60" s="1752"/>
      <c r="K60" s="176"/>
      <c r="L60" s="5"/>
      <c r="M60" s="1199" t="s">
        <v>5326</v>
      </c>
      <c r="N60" s="3" t="s">
        <v>1975</v>
      </c>
      <c r="O60" s="939" t="s">
        <v>351</v>
      </c>
      <c r="P60" s="937">
        <v>45043</v>
      </c>
      <c r="Q60" s="937">
        <v>45043</v>
      </c>
      <c r="R60" s="1034" t="s">
        <v>4223</v>
      </c>
      <c r="S60" s="943"/>
      <c r="T60" s="1564"/>
      <c r="U60" s="936"/>
    </row>
    <row r="61" spans="1:21" ht="57" customHeight="1">
      <c r="A61" s="936" t="s">
        <v>2479</v>
      </c>
      <c r="B61" s="937">
        <v>45043</v>
      </c>
      <c r="C61" s="936">
        <f t="shared" si="0"/>
        <v>5</v>
      </c>
      <c r="D61" s="936">
        <f t="shared" si="1"/>
        <v>5</v>
      </c>
      <c r="E61" s="945"/>
      <c r="F61" s="936">
        <f t="shared" si="2"/>
        <v>54</v>
      </c>
      <c r="G61" s="1035" t="s">
        <v>5757</v>
      </c>
      <c r="H61" s="939"/>
      <c r="I61" s="939"/>
      <c r="J61" s="1752"/>
      <c r="K61" s="176"/>
      <c r="L61" s="5"/>
      <c r="M61" s="1199" t="s">
        <v>5318</v>
      </c>
      <c r="N61" s="3" t="s">
        <v>1975</v>
      </c>
      <c r="O61" s="939" t="s">
        <v>351</v>
      </c>
      <c r="P61" s="937">
        <v>45043</v>
      </c>
      <c r="Q61" s="937">
        <v>45043</v>
      </c>
      <c r="R61" s="1034" t="s">
        <v>4223</v>
      </c>
      <c r="S61" s="943"/>
      <c r="T61" s="1564"/>
      <c r="U61" s="936"/>
    </row>
    <row r="62" spans="1:21" ht="57" customHeight="1">
      <c r="A62" s="936" t="s">
        <v>2479</v>
      </c>
      <c r="B62" s="937">
        <v>45043</v>
      </c>
      <c r="C62" s="936">
        <f t="shared" si="0"/>
        <v>5</v>
      </c>
      <c r="D62" s="936">
        <f t="shared" si="1"/>
        <v>5</v>
      </c>
      <c r="E62" s="945"/>
      <c r="F62" s="936">
        <f t="shared" si="2"/>
        <v>55</v>
      </c>
      <c r="G62" s="1035" t="s">
        <v>5758</v>
      </c>
      <c r="H62" s="939"/>
      <c r="I62" s="939"/>
      <c r="J62" s="1752"/>
      <c r="K62" s="176"/>
      <c r="L62" s="5"/>
      <c r="M62" s="1199"/>
      <c r="N62" s="3" t="s">
        <v>1975</v>
      </c>
      <c r="O62" s="939" t="s">
        <v>351</v>
      </c>
      <c r="P62" s="937">
        <v>45043</v>
      </c>
      <c r="Q62" s="937">
        <v>45043</v>
      </c>
      <c r="R62" s="1034" t="s">
        <v>4223</v>
      </c>
      <c r="S62" s="943"/>
      <c r="T62" s="1564"/>
      <c r="U62" s="936"/>
    </row>
    <row r="63" spans="1:21" ht="57" customHeight="1">
      <c r="A63" s="936" t="s">
        <v>2479</v>
      </c>
      <c r="B63" s="937">
        <v>45043</v>
      </c>
      <c r="C63" s="936">
        <f t="shared" si="0"/>
        <v>5</v>
      </c>
      <c r="D63" s="936">
        <f t="shared" si="1"/>
        <v>5</v>
      </c>
      <c r="E63" s="945"/>
      <c r="F63" s="936">
        <f t="shared" si="2"/>
        <v>56</v>
      </c>
      <c r="G63" s="1035" t="s">
        <v>5759</v>
      </c>
      <c r="H63" s="939"/>
      <c r="I63" s="939"/>
      <c r="J63" s="1752"/>
      <c r="K63" s="176"/>
      <c r="L63" s="5"/>
      <c r="M63" s="1199" t="s">
        <v>4809</v>
      </c>
      <c r="N63" s="3" t="s">
        <v>1975</v>
      </c>
      <c r="O63" s="939" t="s">
        <v>351</v>
      </c>
      <c r="P63" s="937">
        <v>45043</v>
      </c>
      <c r="Q63" s="937">
        <v>45043</v>
      </c>
      <c r="R63" s="1034" t="s">
        <v>4223</v>
      </c>
      <c r="S63" s="943"/>
      <c r="T63" s="1564"/>
      <c r="U63" s="936"/>
    </row>
    <row r="64" spans="1:21" ht="57" customHeight="1">
      <c r="A64" s="936" t="s">
        <v>2479</v>
      </c>
      <c r="B64" s="937">
        <v>45043</v>
      </c>
      <c r="C64" s="936">
        <f t="shared" si="0"/>
        <v>5</v>
      </c>
      <c r="D64" s="936">
        <f t="shared" si="1"/>
        <v>5</v>
      </c>
      <c r="E64" s="945"/>
      <c r="F64" s="936">
        <f t="shared" si="2"/>
        <v>57</v>
      </c>
      <c r="G64" s="1035" t="s">
        <v>5760</v>
      </c>
      <c r="H64" s="939"/>
      <c r="I64" s="939"/>
      <c r="J64" s="1752"/>
      <c r="K64" s="176"/>
      <c r="L64" s="5"/>
      <c r="M64" s="1199" t="s">
        <v>5325</v>
      </c>
      <c r="N64" s="3" t="s">
        <v>1975</v>
      </c>
      <c r="O64" s="939" t="s">
        <v>351</v>
      </c>
      <c r="P64" s="937">
        <v>45043</v>
      </c>
      <c r="Q64" s="937">
        <v>45043</v>
      </c>
      <c r="R64" s="1034" t="s">
        <v>4223</v>
      </c>
      <c r="S64" s="943"/>
      <c r="T64" s="1564"/>
      <c r="U64" s="936"/>
    </row>
    <row r="65" spans="1:21" ht="57" customHeight="1">
      <c r="A65" s="936" t="s">
        <v>2479</v>
      </c>
      <c r="B65" s="937">
        <v>45043</v>
      </c>
      <c r="C65" s="936">
        <f t="shared" si="0"/>
        <v>5</v>
      </c>
      <c r="D65" s="936">
        <f t="shared" si="1"/>
        <v>5</v>
      </c>
      <c r="E65" s="945"/>
      <c r="F65" s="936">
        <f t="shared" si="2"/>
        <v>58</v>
      </c>
      <c r="G65" s="1035" t="s">
        <v>5761</v>
      </c>
      <c r="H65" s="939"/>
      <c r="I65" s="939"/>
      <c r="J65" s="1752"/>
      <c r="K65" s="176"/>
      <c r="L65" s="5"/>
      <c r="M65" s="1199"/>
      <c r="N65" s="3" t="s">
        <v>1975</v>
      </c>
      <c r="O65" s="939" t="s">
        <v>351</v>
      </c>
      <c r="P65" s="937">
        <v>45043</v>
      </c>
      <c r="Q65" s="937">
        <v>45043</v>
      </c>
      <c r="R65" s="1034" t="s">
        <v>4223</v>
      </c>
      <c r="S65" s="943"/>
      <c r="T65" s="1564"/>
      <c r="U65" s="936"/>
    </row>
    <row r="66" spans="1:21" ht="57" customHeight="1">
      <c r="A66" s="936" t="s">
        <v>2479</v>
      </c>
      <c r="B66" s="937">
        <v>45043</v>
      </c>
      <c r="C66" s="936">
        <f t="shared" si="0"/>
        <v>5</v>
      </c>
      <c r="D66" s="936">
        <v>6</v>
      </c>
      <c r="E66" s="945"/>
      <c r="F66" s="936">
        <f t="shared" si="2"/>
        <v>59</v>
      </c>
      <c r="G66" s="1035" t="s">
        <v>5762</v>
      </c>
      <c r="H66" s="939"/>
      <c r="I66" s="939"/>
      <c r="J66" s="1752"/>
      <c r="K66" s="176"/>
      <c r="L66" s="5"/>
      <c r="M66" s="1199"/>
      <c r="N66" s="3" t="s">
        <v>2607</v>
      </c>
      <c r="O66" s="939" t="s">
        <v>351</v>
      </c>
      <c r="P66" s="937">
        <v>45043</v>
      </c>
      <c r="Q66" s="937">
        <v>45043</v>
      </c>
      <c r="R66" s="1034" t="s">
        <v>4223</v>
      </c>
      <c r="S66" s="943"/>
      <c r="T66" s="1564"/>
      <c r="U66" s="936"/>
    </row>
    <row r="67" spans="1:21" ht="57" customHeight="1">
      <c r="A67" s="936" t="s">
        <v>2479</v>
      </c>
      <c r="B67" s="937">
        <v>45043</v>
      </c>
      <c r="C67" s="936">
        <f t="shared" si="0"/>
        <v>5</v>
      </c>
      <c r="D67" s="936">
        <f t="shared" si="1"/>
        <v>6</v>
      </c>
      <c r="E67" s="945"/>
      <c r="F67" s="936">
        <f t="shared" si="2"/>
        <v>60</v>
      </c>
      <c r="G67" s="1035" t="s">
        <v>5763</v>
      </c>
      <c r="H67" s="939"/>
      <c r="I67" s="939"/>
      <c r="J67" s="1752"/>
      <c r="K67" s="176"/>
      <c r="L67" s="5"/>
      <c r="M67" s="1199" t="s">
        <v>3422</v>
      </c>
      <c r="N67" s="3" t="s">
        <v>2607</v>
      </c>
      <c r="O67" s="939" t="s">
        <v>351</v>
      </c>
      <c r="P67" s="937">
        <v>45043</v>
      </c>
      <c r="Q67" s="937">
        <v>45043</v>
      </c>
      <c r="R67" s="1034" t="s">
        <v>4223</v>
      </c>
      <c r="S67" s="943"/>
      <c r="T67" s="1564"/>
      <c r="U67" s="936"/>
    </row>
    <row r="68" spans="1:21" ht="57" customHeight="1">
      <c r="A68" s="936" t="s">
        <v>2479</v>
      </c>
      <c r="B68" s="937">
        <v>45043</v>
      </c>
      <c r="C68" s="936">
        <f t="shared" si="0"/>
        <v>5</v>
      </c>
      <c r="D68" s="936">
        <f t="shared" si="1"/>
        <v>6</v>
      </c>
      <c r="E68" s="945"/>
      <c r="F68" s="936">
        <f t="shared" si="2"/>
        <v>61</v>
      </c>
      <c r="G68" s="1035" t="s">
        <v>5764</v>
      </c>
      <c r="H68" s="939"/>
      <c r="I68" s="939"/>
      <c r="J68" s="1752"/>
      <c r="K68" s="176"/>
      <c r="L68" s="5"/>
      <c r="M68" s="1199"/>
      <c r="N68" s="3" t="s">
        <v>2515</v>
      </c>
      <c r="O68" s="939" t="s">
        <v>351</v>
      </c>
      <c r="P68" s="937">
        <v>45043</v>
      </c>
      <c r="Q68" s="937">
        <v>45043</v>
      </c>
      <c r="R68" s="1034" t="s">
        <v>4223</v>
      </c>
      <c r="S68" s="943"/>
      <c r="T68" s="1564"/>
      <c r="U68" s="936"/>
    </row>
    <row r="69" spans="1:21" ht="57" customHeight="1">
      <c r="A69" s="936" t="s">
        <v>2479</v>
      </c>
      <c r="B69" s="937">
        <v>45043</v>
      </c>
      <c r="C69" s="936">
        <f t="shared" si="0"/>
        <v>5</v>
      </c>
      <c r="D69" s="936">
        <f t="shared" si="1"/>
        <v>6</v>
      </c>
      <c r="E69" s="945"/>
      <c r="F69" s="936">
        <f t="shared" si="2"/>
        <v>62</v>
      </c>
      <c r="G69" s="1035" t="s">
        <v>5765</v>
      </c>
      <c r="H69" s="939"/>
      <c r="I69" s="939"/>
      <c r="J69" s="1752"/>
      <c r="K69" s="176"/>
      <c r="L69" s="5"/>
      <c r="M69" s="1199"/>
      <c r="N69" s="3" t="s">
        <v>2541</v>
      </c>
      <c r="O69" s="939" t="s">
        <v>5766</v>
      </c>
      <c r="P69" s="937">
        <v>45043</v>
      </c>
      <c r="Q69" s="937">
        <v>45043</v>
      </c>
      <c r="R69" s="1034" t="s">
        <v>4223</v>
      </c>
      <c r="S69" s="943"/>
      <c r="T69" s="1564"/>
      <c r="U69" s="936"/>
    </row>
    <row r="70" spans="1:21" ht="57" customHeight="1">
      <c r="A70" s="936" t="s">
        <v>2479</v>
      </c>
      <c r="B70" s="937">
        <v>45043</v>
      </c>
      <c r="C70" s="936">
        <f t="shared" si="0"/>
        <v>5</v>
      </c>
      <c r="D70" s="936">
        <f t="shared" si="1"/>
        <v>6</v>
      </c>
      <c r="E70" s="945"/>
      <c r="F70" s="936">
        <f t="shared" si="2"/>
        <v>63</v>
      </c>
      <c r="G70" s="1035" t="s">
        <v>5767</v>
      </c>
      <c r="H70" s="939"/>
      <c r="I70" s="939"/>
      <c r="J70" s="1752"/>
      <c r="K70" s="176"/>
      <c r="L70" s="5"/>
      <c r="M70" s="1199"/>
      <c r="N70" s="3" t="s">
        <v>2527</v>
      </c>
      <c r="O70" s="939" t="s">
        <v>5768</v>
      </c>
      <c r="P70" s="937">
        <v>45043</v>
      </c>
      <c r="Q70" s="937">
        <v>45043</v>
      </c>
      <c r="R70" s="1034" t="s">
        <v>4223</v>
      </c>
      <c r="S70" s="943"/>
      <c r="T70" s="1564"/>
      <c r="U70" s="936"/>
    </row>
    <row r="71" spans="1:21" ht="57" customHeight="1">
      <c r="A71" s="936" t="s">
        <v>2479</v>
      </c>
      <c r="B71" s="937">
        <v>45043</v>
      </c>
      <c r="C71" s="936">
        <f t="shared" si="0"/>
        <v>5</v>
      </c>
      <c r="D71" s="936">
        <f t="shared" si="1"/>
        <v>6</v>
      </c>
      <c r="E71" s="945"/>
      <c r="F71" s="936">
        <f t="shared" si="2"/>
        <v>64</v>
      </c>
      <c r="G71" s="1035" t="s">
        <v>5769</v>
      </c>
      <c r="H71" s="939"/>
      <c r="I71" s="939"/>
      <c r="J71" s="1752"/>
      <c r="K71" s="176"/>
      <c r="L71" s="5"/>
      <c r="M71" s="1199"/>
      <c r="N71" s="3" t="s">
        <v>2535</v>
      </c>
      <c r="O71" s="939" t="s">
        <v>5768</v>
      </c>
      <c r="P71" s="937">
        <v>45043</v>
      </c>
      <c r="Q71" s="937">
        <v>45043</v>
      </c>
      <c r="R71" s="1034" t="s">
        <v>4223</v>
      </c>
      <c r="S71" s="943"/>
      <c r="T71" s="1564"/>
      <c r="U71" s="936"/>
    </row>
    <row r="72" spans="1:21" ht="57" customHeight="1">
      <c r="A72" s="936" t="s">
        <v>2479</v>
      </c>
      <c r="B72" s="937">
        <v>45043</v>
      </c>
      <c r="C72" s="936">
        <f t="shared" si="0"/>
        <v>5</v>
      </c>
      <c r="D72" s="936">
        <f t="shared" si="1"/>
        <v>6</v>
      </c>
      <c r="E72" s="945"/>
      <c r="F72" s="936">
        <f t="shared" si="2"/>
        <v>65</v>
      </c>
      <c r="G72" s="1035" t="s">
        <v>5770</v>
      </c>
      <c r="H72" s="939"/>
      <c r="I72" s="939"/>
      <c r="J72" s="1752"/>
      <c r="K72" s="176"/>
      <c r="L72" s="5"/>
      <c r="M72" s="1199"/>
      <c r="N72" s="3" t="s">
        <v>1975</v>
      </c>
      <c r="O72" s="939" t="s">
        <v>5768</v>
      </c>
      <c r="P72" s="937">
        <v>45043</v>
      </c>
      <c r="Q72" s="937">
        <v>45043</v>
      </c>
      <c r="R72" s="1034" t="s">
        <v>4223</v>
      </c>
      <c r="S72" s="943"/>
      <c r="T72" s="1564"/>
      <c r="U72" s="936"/>
    </row>
    <row r="73" spans="1:21" ht="57" customHeight="1">
      <c r="A73" s="936" t="s">
        <v>2479</v>
      </c>
      <c r="B73" s="937">
        <v>45043</v>
      </c>
      <c r="C73" s="936">
        <f t="shared" si="0"/>
        <v>5</v>
      </c>
      <c r="D73" s="936">
        <f t="shared" si="1"/>
        <v>6</v>
      </c>
      <c r="E73" s="945"/>
      <c r="F73" s="936">
        <f t="shared" si="2"/>
        <v>66</v>
      </c>
      <c r="G73" s="1035" t="s">
        <v>5771</v>
      </c>
      <c r="H73" s="939"/>
      <c r="I73" s="939"/>
      <c r="J73" s="1752"/>
      <c r="K73" s="176"/>
      <c r="L73" s="5"/>
      <c r="M73" s="1199" t="s">
        <v>2497</v>
      </c>
      <c r="N73" s="3" t="s">
        <v>2527</v>
      </c>
      <c r="O73" s="939" t="s">
        <v>5772</v>
      </c>
      <c r="P73" s="937">
        <v>45043</v>
      </c>
      <c r="Q73" s="937">
        <v>45043</v>
      </c>
      <c r="R73" s="1034" t="s">
        <v>4223</v>
      </c>
      <c r="S73" s="943"/>
      <c r="T73" s="1564"/>
      <c r="U73" s="936"/>
    </row>
    <row r="74" spans="1:21" ht="57" customHeight="1">
      <c r="A74" s="936" t="s">
        <v>2479</v>
      </c>
      <c r="B74" s="937">
        <v>44909</v>
      </c>
      <c r="C74" s="936">
        <v>4</v>
      </c>
      <c r="D74" s="936">
        <v>4</v>
      </c>
      <c r="E74" s="945"/>
      <c r="F74" s="936">
        <v>1</v>
      </c>
      <c r="G74" s="1035" t="s">
        <v>5103</v>
      </c>
      <c r="H74" s="939"/>
      <c r="I74" s="939"/>
      <c r="J74" s="1752"/>
      <c r="K74" s="176"/>
      <c r="L74" s="5"/>
      <c r="M74" s="1199" t="s">
        <v>3162</v>
      </c>
      <c r="N74" s="3" t="s">
        <v>1975</v>
      </c>
      <c r="O74" s="939" t="s">
        <v>5683</v>
      </c>
      <c r="P74" s="937">
        <v>44909</v>
      </c>
      <c r="Q74" s="937">
        <v>44909</v>
      </c>
      <c r="R74" s="1034" t="s">
        <v>4223</v>
      </c>
      <c r="S74" s="943"/>
      <c r="T74" s="1747"/>
      <c r="U74" s="936"/>
    </row>
    <row r="75" spans="1:21" ht="57" customHeight="1">
      <c r="A75" s="936" t="s">
        <v>2479</v>
      </c>
      <c r="B75" s="937">
        <v>44694</v>
      </c>
      <c r="C75" s="936">
        <v>2</v>
      </c>
      <c r="D75" s="936">
        <f t="shared" ref="D75:D94" si="3">D74</f>
        <v>4</v>
      </c>
      <c r="E75" s="511" t="s">
        <v>5372</v>
      </c>
      <c r="F75" s="936">
        <f t="shared" ref="F75:F94" si="4">F74+1</f>
        <v>2</v>
      </c>
      <c r="G75" s="1035" t="s">
        <v>5153</v>
      </c>
      <c r="H75" s="939"/>
      <c r="I75" s="939" t="s">
        <v>550</v>
      </c>
      <c r="J75" s="1752" t="s">
        <v>5792</v>
      </c>
      <c r="K75" s="176">
        <v>44968</v>
      </c>
      <c r="L75" s="5">
        <v>44985</v>
      </c>
      <c r="M75" s="1199" t="s">
        <v>4772</v>
      </c>
      <c r="N75" s="3" t="s">
        <v>1975</v>
      </c>
      <c r="O75" s="939" t="s">
        <v>76</v>
      </c>
      <c r="P75" s="937">
        <v>44694</v>
      </c>
      <c r="Q75" s="937">
        <v>44694</v>
      </c>
      <c r="R75" s="1034" t="s">
        <v>4223</v>
      </c>
      <c r="S75" s="943"/>
      <c r="T75" s="1747" t="s">
        <v>5778</v>
      </c>
      <c r="U75" s="936"/>
    </row>
    <row r="76" spans="1:21" ht="77.25" customHeight="1">
      <c r="A76" s="936" t="s">
        <v>2479</v>
      </c>
      <c r="B76" s="937">
        <v>44909</v>
      </c>
      <c r="C76" s="936">
        <v>4</v>
      </c>
      <c r="D76" s="936">
        <f t="shared" si="3"/>
        <v>4</v>
      </c>
      <c r="E76" s="945"/>
      <c r="F76" s="936">
        <f t="shared" si="4"/>
        <v>3</v>
      </c>
      <c r="G76" s="1035" t="s">
        <v>5212</v>
      </c>
      <c r="H76" s="939"/>
      <c r="I76" s="939"/>
      <c r="J76" s="1752"/>
      <c r="K76" s="176"/>
      <c r="L76" s="5"/>
      <c r="M76" s="1199" t="s">
        <v>4688</v>
      </c>
      <c r="N76" s="3" t="s">
        <v>2509</v>
      </c>
      <c r="O76" s="939" t="s">
        <v>5683</v>
      </c>
      <c r="P76" s="937">
        <v>44909</v>
      </c>
      <c r="Q76" s="937">
        <v>44909</v>
      </c>
      <c r="R76" s="1034" t="s">
        <v>4223</v>
      </c>
      <c r="S76" s="943"/>
      <c r="T76" s="1564"/>
      <c r="U76" s="936"/>
    </row>
    <row r="77" spans="1:21" ht="57" customHeight="1">
      <c r="A77" s="936" t="s">
        <v>2479</v>
      </c>
      <c r="B77" s="937">
        <v>44909</v>
      </c>
      <c r="C77" s="936">
        <v>4</v>
      </c>
      <c r="D77" s="936">
        <f t="shared" si="3"/>
        <v>4</v>
      </c>
      <c r="E77" s="511" t="s">
        <v>5408</v>
      </c>
      <c r="F77" s="936">
        <f t="shared" si="4"/>
        <v>4</v>
      </c>
      <c r="G77" s="1035" t="s">
        <v>5684</v>
      </c>
      <c r="H77" s="939"/>
      <c r="I77" s="939" t="s">
        <v>550</v>
      </c>
      <c r="J77" s="1752" t="s">
        <v>5790</v>
      </c>
      <c r="K77" s="176">
        <v>44987</v>
      </c>
      <c r="L77" s="5">
        <v>45048</v>
      </c>
      <c r="M77" s="1199" t="s">
        <v>5327</v>
      </c>
      <c r="N77" s="3" t="s">
        <v>1975</v>
      </c>
      <c r="O77" s="939" t="s">
        <v>5683</v>
      </c>
      <c r="P77" s="937">
        <v>44909</v>
      </c>
      <c r="Q77" s="937">
        <v>44909</v>
      </c>
      <c r="R77" s="1034" t="s">
        <v>4223</v>
      </c>
      <c r="S77" s="943"/>
      <c r="T77" s="1747" t="s">
        <v>5774</v>
      </c>
      <c r="U77" s="936"/>
    </row>
    <row r="78" spans="1:21" ht="57" customHeight="1">
      <c r="A78" s="936" t="s">
        <v>2479</v>
      </c>
      <c r="B78" s="937">
        <v>44909</v>
      </c>
      <c r="C78" s="936">
        <v>4</v>
      </c>
      <c r="D78" s="936">
        <f t="shared" si="3"/>
        <v>4</v>
      </c>
      <c r="E78" s="945"/>
      <c r="F78" s="936">
        <f t="shared" si="4"/>
        <v>5</v>
      </c>
      <c r="G78" s="1035" t="s">
        <v>5685</v>
      </c>
      <c r="H78" s="939"/>
      <c r="I78" s="939"/>
      <c r="J78" s="1752"/>
      <c r="K78" s="176"/>
      <c r="L78" s="5"/>
      <c r="M78" s="1199"/>
      <c r="N78" s="3" t="s">
        <v>2607</v>
      </c>
      <c r="O78" s="939" t="s">
        <v>5683</v>
      </c>
      <c r="P78" s="937">
        <v>44909</v>
      </c>
      <c r="Q78" s="937">
        <v>44909</v>
      </c>
      <c r="R78" s="1034" t="s">
        <v>4223</v>
      </c>
      <c r="S78" s="943"/>
      <c r="T78" s="1564"/>
      <c r="U78" s="936"/>
    </row>
    <row r="79" spans="1:21" ht="57" customHeight="1">
      <c r="A79" s="936" t="s">
        <v>2479</v>
      </c>
      <c r="B79" s="937">
        <v>44909</v>
      </c>
      <c r="C79" s="936">
        <v>4</v>
      </c>
      <c r="D79" s="936">
        <f t="shared" si="3"/>
        <v>4</v>
      </c>
      <c r="E79" s="945"/>
      <c r="F79" s="936">
        <f t="shared" si="4"/>
        <v>6</v>
      </c>
      <c r="G79" s="1035" t="s">
        <v>5686</v>
      </c>
      <c r="H79" s="939"/>
      <c r="I79" s="939"/>
      <c r="J79" s="1752"/>
      <c r="K79" s="176"/>
      <c r="L79" s="5"/>
      <c r="M79" s="1199"/>
      <c r="N79" s="3" t="s">
        <v>2515</v>
      </c>
      <c r="O79" s="939" t="s">
        <v>5683</v>
      </c>
      <c r="P79" s="937">
        <v>44909</v>
      </c>
      <c r="Q79" s="937">
        <v>44909</v>
      </c>
      <c r="R79" s="1034" t="s">
        <v>4223</v>
      </c>
      <c r="S79" s="943"/>
      <c r="T79" s="1564"/>
      <c r="U79" s="936"/>
    </row>
    <row r="80" spans="1:21" ht="105" customHeight="1">
      <c r="A80" s="936" t="s">
        <v>2479</v>
      </c>
      <c r="B80" s="937">
        <v>44909</v>
      </c>
      <c r="C80" s="936">
        <v>4</v>
      </c>
      <c r="D80" s="936">
        <f t="shared" si="3"/>
        <v>4</v>
      </c>
      <c r="E80" s="945" t="s">
        <v>351</v>
      </c>
      <c r="F80" s="936">
        <f t="shared" si="4"/>
        <v>7</v>
      </c>
      <c r="G80" s="1035" t="s">
        <v>5111</v>
      </c>
      <c r="H80" s="939"/>
      <c r="I80" s="939" t="s">
        <v>550</v>
      </c>
      <c r="J80" s="1752"/>
      <c r="K80" s="176"/>
      <c r="L80" s="5"/>
      <c r="M80" s="1199" t="s">
        <v>3144</v>
      </c>
      <c r="N80" s="3" t="s">
        <v>1975</v>
      </c>
      <c r="O80" s="939" t="s">
        <v>5683</v>
      </c>
      <c r="P80" s="937">
        <v>44909</v>
      </c>
      <c r="Q80" s="937">
        <v>44909</v>
      </c>
      <c r="R80" s="1034" t="s">
        <v>4223</v>
      </c>
      <c r="S80" s="943"/>
      <c r="T80" s="1747" t="s">
        <v>3064</v>
      </c>
      <c r="U80" s="936"/>
    </row>
    <row r="81" spans="1:21" ht="84" customHeight="1">
      <c r="A81" s="936" t="s">
        <v>2479</v>
      </c>
      <c r="B81" s="937">
        <v>44909</v>
      </c>
      <c r="C81" s="936">
        <v>4</v>
      </c>
      <c r="D81" s="936">
        <f t="shared" si="3"/>
        <v>4</v>
      </c>
      <c r="E81" s="945" t="s">
        <v>351</v>
      </c>
      <c r="F81" s="936">
        <f t="shared" si="4"/>
        <v>8</v>
      </c>
      <c r="G81" s="1035" t="s">
        <v>5776</v>
      </c>
      <c r="H81" s="939"/>
      <c r="I81" s="939" t="s">
        <v>550</v>
      </c>
      <c r="J81" s="1752"/>
      <c r="K81" s="176"/>
      <c r="L81" s="5"/>
      <c r="M81" s="1199" t="s">
        <v>2491</v>
      </c>
      <c r="N81" s="3" t="s">
        <v>1975</v>
      </c>
      <c r="O81" s="939" t="s">
        <v>5683</v>
      </c>
      <c r="P81" s="937">
        <v>44909</v>
      </c>
      <c r="Q81" s="937">
        <v>44909</v>
      </c>
      <c r="R81" s="1034" t="s">
        <v>4223</v>
      </c>
      <c r="S81" s="943"/>
      <c r="T81" s="1747" t="s">
        <v>3064</v>
      </c>
      <c r="U81" s="936"/>
    </row>
    <row r="82" spans="1:21" ht="57" customHeight="1">
      <c r="A82" s="936" t="s">
        <v>2479</v>
      </c>
      <c r="B82" s="937">
        <v>44909</v>
      </c>
      <c r="C82" s="936">
        <v>4</v>
      </c>
      <c r="D82" s="936">
        <f t="shared" si="3"/>
        <v>4</v>
      </c>
      <c r="E82" s="945"/>
      <c r="F82" s="936">
        <f t="shared" si="4"/>
        <v>9</v>
      </c>
      <c r="G82" s="1035" t="s">
        <v>5122</v>
      </c>
      <c r="H82" s="939"/>
      <c r="I82" s="939"/>
      <c r="J82" s="1752"/>
      <c r="K82" s="176"/>
      <c r="L82" s="5"/>
      <c r="M82" s="1199" t="s">
        <v>3422</v>
      </c>
      <c r="N82" s="3" t="s">
        <v>2607</v>
      </c>
      <c r="O82" s="939" t="s">
        <v>5683</v>
      </c>
      <c r="P82" s="937">
        <v>44909</v>
      </c>
      <c r="Q82" s="937">
        <v>44909</v>
      </c>
      <c r="R82" s="1034" t="s">
        <v>4223</v>
      </c>
      <c r="S82" s="943"/>
      <c r="T82" s="1564"/>
      <c r="U82" s="936"/>
    </row>
    <row r="83" spans="1:21" ht="57" customHeight="1">
      <c r="A83" s="936" t="s">
        <v>2479</v>
      </c>
      <c r="B83" s="937">
        <v>44909</v>
      </c>
      <c r="C83" s="936">
        <v>4</v>
      </c>
      <c r="D83" s="936">
        <f t="shared" si="3"/>
        <v>4</v>
      </c>
      <c r="E83" s="945"/>
      <c r="F83" s="936">
        <f t="shared" si="4"/>
        <v>10</v>
      </c>
      <c r="G83" s="1035" t="s">
        <v>5687</v>
      </c>
      <c r="H83" s="939"/>
      <c r="I83" s="939"/>
      <c r="J83" s="1752"/>
      <c r="K83" s="176"/>
      <c r="L83" s="5"/>
      <c r="M83" s="1199"/>
      <c r="N83" s="3" t="s">
        <v>2527</v>
      </c>
      <c r="O83" s="939" t="s">
        <v>5683</v>
      </c>
      <c r="P83" s="937">
        <v>44909</v>
      </c>
      <c r="Q83" s="937">
        <v>44909</v>
      </c>
      <c r="R83" s="1034" t="s">
        <v>4223</v>
      </c>
      <c r="S83" s="943"/>
      <c r="T83" s="1564"/>
      <c r="U83" s="936"/>
    </row>
    <row r="84" spans="1:21" ht="57" customHeight="1">
      <c r="A84" s="936" t="s">
        <v>2479</v>
      </c>
      <c r="B84" s="937">
        <v>44909</v>
      </c>
      <c r="C84" s="936">
        <v>4</v>
      </c>
      <c r="D84" s="936">
        <f t="shared" si="3"/>
        <v>4</v>
      </c>
      <c r="E84" s="945"/>
      <c r="F84" s="936">
        <f t="shared" si="4"/>
        <v>11</v>
      </c>
      <c r="G84" s="1035" t="s">
        <v>5691</v>
      </c>
      <c r="H84" s="939"/>
      <c r="I84" s="939"/>
      <c r="J84" s="1752"/>
      <c r="K84" s="176"/>
      <c r="L84" s="5"/>
      <c r="M84" s="1199"/>
      <c r="N84" s="3" t="s">
        <v>2541</v>
      </c>
      <c r="O84" s="939" t="s">
        <v>5683</v>
      </c>
      <c r="P84" s="937">
        <v>44909</v>
      </c>
      <c r="Q84" s="937">
        <v>44909</v>
      </c>
      <c r="R84" s="1034" t="s">
        <v>4223</v>
      </c>
      <c r="S84" s="943"/>
      <c r="T84" s="1564"/>
      <c r="U84" s="936"/>
    </row>
    <row r="85" spans="1:21" ht="57" customHeight="1">
      <c r="A85" s="936" t="s">
        <v>2479</v>
      </c>
      <c r="B85" s="937">
        <v>44909</v>
      </c>
      <c r="C85" s="936">
        <v>4</v>
      </c>
      <c r="D85" s="936">
        <f t="shared" si="3"/>
        <v>4</v>
      </c>
      <c r="E85" s="945" t="s">
        <v>4739</v>
      </c>
      <c r="F85" s="936">
        <f t="shared" si="4"/>
        <v>12</v>
      </c>
      <c r="G85" s="1035" t="s">
        <v>5688</v>
      </c>
      <c r="H85" s="939"/>
      <c r="I85" s="939" t="s">
        <v>550</v>
      </c>
      <c r="J85" s="1752"/>
      <c r="K85" s="176"/>
      <c r="L85" s="5"/>
      <c r="M85" s="1199" t="s">
        <v>4749</v>
      </c>
      <c r="N85" s="3" t="s">
        <v>2527</v>
      </c>
      <c r="O85" s="939" t="s">
        <v>5683</v>
      </c>
      <c r="P85" s="937">
        <v>44909</v>
      </c>
      <c r="Q85" s="937">
        <v>44909</v>
      </c>
      <c r="R85" s="1034" t="s">
        <v>4223</v>
      </c>
      <c r="S85" s="943"/>
      <c r="T85" s="1747"/>
      <c r="U85" s="936"/>
    </row>
    <row r="86" spans="1:21" ht="57" customHeight="1">
      <c r="A86" s="936" t="s">
        <v>2479</v>
      </c>
      <c r="B86" s="937">
        <v>44909</v>
      </c>
      <c r="C86" s="936">
        <v>4</v>
      </c>
      <c r="D86" s="936">
        <f t="shared" si="3"/>
        <v>4</v>
      </c>
      <c r="E86" s="945"/>
      <c r="F86" s="936">
        <f t="shared" si="4"/>
        <v>13</v>
      </c>
      <c r="G86" s="1035" t="s">
        <v>5689</v>
      </c>
      <c r="H86" s="939"/>
      <c r="I86" s="939"/>
      <c r="J86" s="1752"/>
      <c r="K86" s="176"/>
      <c r="L86" s="5"/>
      <c r="M86" s="1199" t="s">
        <v>5318</v>
      </c>
      <c r="N86" s="3" t="s">
        <v>1975</v>
      </c>
      <c r="O86" s="939" t="s">
        <v>5683</v>
      </c>
      <c r="P86" s="937">
        <v>44909</v>
      </c>
      <c r="Q86" s="937">
        <v>44909</v>
      </c>
      <c r="R86" s="1034" t="s">
        <v>4223</v>
      </c>
      <c r="S86" s="943"/>
      <c r="T86" s="1564"/>
      <c r="U86" s="936"/>
    </row>
    <row r="87" spans="1:21" ht="57" customHeight="1">
      <c r="A87" s="936" t="s">
        <v>2479</v>
      </c>
      <c r="B87" s="937">
        <v>44909</v>
      </c>
      <c r="C87" s="936">
        <v>4</v>
      </c>
      <c r="D87" s="936">
        <f t="shared" si="3"/>
        <v>4</v>
      </c>
      <c r="E87" s="945"/>
      <c r="F87" s="936">
        <f t="shared" si="4"/>
        <v>14</v>
      </c>
      <c r="G87" s="1035" t="s">
        <v>5690</v>
      </c>
      <c r="H87" s="939"/>
      <c r="I87" s="939"/>
      <c r="J87" s="1752"/>
      <c r="K87" s="176"/>
      <c r="L87" s="5"/>
      <c r="M87" s="1199"/>
      <c r="N87" s="3" t="s">
        <v>1975</v>
      </c>
      <c r="O87" s="939" t="s">
        <v>5683</v>
      </c>
      <c r="P87" s="937">
        <v>44909</v>
      </c>
      <c r="Q87" s="937">
        <v>44909</v>
      </c>
      <c r="R87" s="1034" t="s">
        <v>4223</v>
      </c>
      <c r="S87" s="943"/>
      <c r="T87" s="1564"/>
      <c r="U87" s="936"/>
    </row>
    <row r="88" spans="1:21" ht="57" customHeight="1">
      <c r="A88" s="936" t="s">
        <v>2479</v>
      </c>
      <c r="B88" s="937">
        <v>44909</v>
      </c>
      <c r="C88" s="936">
        <v>4</v>
      </c>
      <c r="D88" s="936">
        <f t="shared" si="3"/>
        <v>4</v>
      </c>
      <c r="E88" s="945"/>
      <c r="F88" s="936">
        <f t="shared" si="4"/>
        <v>15</v>
      </c>
      <c r="G88" s="1035" t="s">
        <v>5106</v>
      </c>
      <c r="H88" s="939"/>
      <c r="I88" s="939"/>
      <c r="J88" s="1752"/>
      <c r="K88" s="176"/>
      <c r="L88" s="5"/>
      <c r="M88" s="1199" t="s">
        <v>5692</v>
      </c>
      <c r="N88" s="3" t="s">
        <v>1975</v>
      </c>
      <c r="O88" s="939" t="s">
        <v>5683</v>
      </c>
      <c r="P88" s="937">
        <v>44909</v>
      </c>
      <c r="Q88" s="937">
        <v>44909</v>
      </c>
      <c r="R88" s="1034" t="s">
        <v>4223</v>
      </c>
      <c r="S88" s="943"/>
      <c r="T88" s="1564"/>
      <c r="U88" s="936"/>
    </row>
    <row r="89" spans="1:21" ht="57" customHeight="1">
      <c r="A89" s="936" t="s">
        <v>2479</v>
      </c>
      <c r="B89" s="937">
        <v>44909</v>
      </c>
      <c r="C89" s="936">
        <v>4</v>
      </c>
      <c r="D89" s="936">
        <f t="shared" si="3"/>
        <v>4</v>
      </c>
      <c r="E89" s="945"/>
      <c r="F89" s="936">
        <f t="shared" si="4"/>
        <v>16</v>
      </c>
      <c r="G89" s="1035" t="s">
        <v>5693</v>
      </c>
      <c r="H89" s="939"/>
      <c r="I89" s="939"/>
      <c r="J89" s="1752"/>
      <c r="K89" s="176"/>
      <c r="L89" s="5"/>
      <c r="M89" s="1199" t="s">
        <v>5329</v>
      </c>
      <c r="N89" s="3" t="s">
        <v>1975</v>
      </c>
      <c r="O89" s="939" t="s">
        <v>5683</v>
      </c>
      <c r="P89" s="937">
        <v>44909</v>
      </c>
      <c r="Q89" s="937">
        <v>44909</v>
      </c>
      <c r="R89" s="1034" t="s">
        <v>4223</v>
      </c>
      <c r="S89" s="943"/>
      <c r="T89" s="1564"/>
      <c r="U89" s="936"/>
    </row>
    <row r="90" spans="1:21" ht="57" customHeight="1">
      <c r="A90" s="936" t="s">
        <v>2479</v>
      </c>
      <c r="B90" s="937">
        <v>44909</v>
      </c>
      <c r="C90" s="936">
        <v>4</v>
      </c>
      <c r="D90" s="936">
        <f t="shared" si="3"/>
        <v>4</v>
      </c>
      <c r="E90" s="945"/>
      <c r="F90" s="936">
        <f t="shared" si="4"/>
        <v>17</v>
      </c>
      <c r="G90" s="1035" t="s">
        <v>5723</v>
      </c>
      <c r="H90" s="939" t="s">
        <v>3138</v>
      </c>
      <c r="I90" s="939"/>
      <c r="J90" s="1752"/>
      <c r="K90" s="176"/>
      <c r="L90" s="5"/>
      <c r="M90" s="1199" t="s">
        <v>2503</v>
      </c>
      <c r="N90" s="3" t="s">
        <v>1975</v>
      </c>
      <c r="O90" s="939" t="s">
        <v>5683</v>
      </c>
      <c r="P90" s="937">
        <v>44909</v>
      </c>
      <c r="Q90" s="937">
        <v>44909</v>
      </c>
      <c r="R90" s="1034" t="s">
        <v>4223</v>
      </c>
      <c r="S90" s="943"/>
      <c r="T90" s="1564"/>
      <c r="U90" s="936"/>
    </row>
    <row r="91" spans="1:21" ht="57" customHeight="1">
      <c r="A91" s="936" t="s">
        <v>2479</v>
      </c>
      <c r="B91" s="937">
        <v>44909</v>
      </c>
      <c r="C91" s="936">
        <v>4</v>
      </c>
      <c r="D91" s="936">
        <f t="shared" si="3"/>
        <v>4</v>
      </c>
      <c r="E91" s="945"/>
      <c r="F91" s="936">
        <f t="shared" si="4"/>
        <v>18</v>
      </c>
      <c r="G91" s="1035" t="s">
        <v>5694</v>
      </c>
      <c r="H91" s="939"/>
      <c r="I91" s="939"/>
      <c r="J91" s="1752"/>
      <c r="K91" s="176"/>
      <c r="L91" s="5"/>
      <c r="M91" s="1199"/>
      <c r="N91" s="3" t="s">
        <v>1975</v>
      </c>
      <c r="O91" s="939" t="s">
        <v>5683</v>
      </c>
      <c r="P91" s="937">
        <v>44909</v>
      </c>
      <c r="Q91" s="937">
        <v>44909</v>
      </c>
      <c r="R91" s="1034" t="s">
        <v>4223</v>
      </c>
      <c r="S91" s="943"/>
      <c r="T91" s="1564"/>
      <c r="U91" s="936"/>
    </row>
    <row r="92" spans="1:21" ht="57" customHeight="1">
      <c r="A92" s="936" t="s">
        <v>2479</v>
      </c>
      <c r="B92" s="937">
        <v>44909</v>
      </c>
      <c r="C92" s="936">
        <v>4</v>
      </c>
      <c r="D92" s="936">
        <f t="shared" si="3"/>
        <v>4</v>
      </c>
      <c r="E92" s="945"/>
      <c r="F92" s="936">
        <f t="shared" si="4"/>
        <v>19</v>
      </c>
      <c r="G92" s="1035" t="s">
        <v>5695</v>
      </c>
      <c r="H92" s="939"/>
      <c r="I92" s="939"/>
      <c r="J92" s="1752"/>
      <c r="K92" s="176"/>
      <c r="L92" s="5"/>
      <c r="M92" s="1199"/>
      <c r="N92" s="3" t="s">
        <v>2580</v>
      </c>
      <c r="O92" s="939" t="s">
        <v>5683</v>
      </c>
      <c r="P92" s="937">
        <v>44909</v>
      </c>
      <c r="Q92" s="937">
        <v>44909</v>
      </c>
      <c r="R92" s="1034" t="s">
        <v>4223</v>
      </c>
      <c r="S92" s="943"/>
      <c r="T92" s="1564"/>
      <c r="U92" s="936"/>
    </row>
    <row r="93" spans="1:21" ht="57" customHeight="1">
      <c r="A93" s="936" t="s">
        <v>2479</v>
      </c>
      <c r="B93" s="937">
        <v>44909</v>
      </c>
      <c r="C93" s="936">
        <v>4</v>
      </c>
      <c r="D93" s="936">
        <f t="shared" si="3"/>
        <v>4</v>
      </c>
      <c r="E93" s="945"/>
      <c r="F93" s="936">
        <f t="shared" si="4"/>
        <v>20</v>
      </c>
      <c r="G93" s="1035" t="s">
        <v>5696</v>
      </c>
      <c r="H93" s="939"/>
      <c r="I93" s="939"/>
      <c r="J93" s="1752"/>
      <c r="K93" s="176"/>
      <c r="L93" s="5"/>
      <c r="M93" s="1199" t="s">
        <v>4773</v>
      </c>
      <c r="N93" s="3" t="s">
        <v>1975</v>
      </c>
      <c r="O93" s="939" t="s">
        <v>5683</v>
      </c>
      <c r="P93" s="937">
        <v>44909</v>
      </c>
      <c r="Q93" s="937">
        <v>44909</v>
      </c>
      <c r="R93" s="1034" t="s">
        <v>4223</v>
      </c>
      <c r="S93" s="943"/>
      <c r="T93" s="1564"/>
      <c r="U93" s="936"/>
    </row>
    <row r="94" spans="1:21" ht="57" customHeight="1">
      <c r="A94" s="936" t="s">
        <v>2479</v>
      </c>
      <c r="B94" s="937">
        <v>44909</v>
      </c>
      <c r="C94" s="936">
        <v>4</v>
      </c>
      <c r="D94" s="936">
        <f t="shared" si="3"/>
        <v>4</v>
      </c>
      <c r="E94" s="945"/>
      <c r="F94" s="936">
        <f t="shared" si="4"/>
        <v>21</v>
      </c>
      <c r="G94" s="1035" t="s">
        <v>5697</v>
      </c>
      <c r="H94" s="939"/>
      <c r="I94" s="939"/>
      <c r="J94" s="1752"/>
      <c r="K94" s="176"/>
      <c r="L94" s="5"/>
      <c r="M94" s="1199" t="s">
        <v>2566</v>
      </c>
      <c r="N94" s="3" t="s">
        <v>1975</v>
      </c>
      <c r="O94" s="939" t="s">
        <v>5683</v>
      </c>
      <c r="P94" s="937">
        <v>44909</v>
      </c>
      <c r="Q94" s="937">
        <v>44909</v>
      </c>
      <c r="R94" s="1034" t="s">
        <v>4223</v>
      </c>
      <c r="S94" s="943"/>
      <c r="T94" s="1564"/>
      <c r="U94" s="936"/>
    </row>
    <row r="95" spans="1:21" ht="57" customHeight="1">
      <c r="A95" s="936" t="s">
        <v>2479</v>
      </c>
      <c r="B95" s="937">
        <v>44854</v>
      </c>
      <c r="C95" s="936">
        <v>3</v>
      </c>
      <c r="D95" s="936">
        <v>4</v>
      </c>
      <c r="E95" s="945" t="s">
        <v>4355</v>
      </c>
      <c r="F95" s="936">
        <v>1</v>
      </c>
      <c r="G95" s="1035" t="s">
        <v>5351</v>
      </c>
      <c r="H95" s="939"/>
      <c r="I95" s="939" t="s">
        <v>550</v>
      </c>
      <c r="J95" s="1752" t="s">
        <v>5791</v>
      </c>
      <c r="K95" s="176">
        <v>44767</v>
      </c>
      <c r="L95" s="5">
        <v>44814</v>
      </c>
      <c r="M95" s="1199" t="s">
        <v>5352</v>
      </c>
      <c r="N95" s="3" t="s">
        <v>2580</v>
      </c>
      <c r="O95" s="939" t="s">
        <v>5044</v>
      </c>
      <c r="P95" s="937">
        <v>44854</v>
      </c>
      <c r="Q95" s="937">
        <v>44854</v>
      </c>
      <c r="R95" s="1034" t="s">
        <v>4223</v>
      </c>
      <c r="S95" s="943"/>
      <c r="T95" s="1747"/>
      <c r="U95" s="936"/>
    </row>
    <row r="96" spans="1:21" ht="51.75" customHeight="1">
      <c r="A96" s="936" t="s">
        <v>2479</v>
      </c>
      <c r="B96" s="937">
        <v>44854</v>
      </c>
      <c r="C96" s="936">
        <v>3</v>
      </c>
      <c r="D96" s="936">
        <f t="shared" ref="D96:D108" si="5">D95</f>
        <v>4</v>
      </c>
      <c r="E96" s="945" t="s">
        <v>4354</v>
      </c>
      <c r="F96" s="936">
        <f t="shared" ref="F96:F105" si="6">F95+1</f>
        <v>2</v>
      </c>
      <c r="G96" s="1035" t="s">
        <v>5353</v>
      </c>
      <c r="H96" s="939"/>
      <c r="I96" s="939" t="s">
        <v>550</v>
      </c>
      <c r="J96" s="1752" t="s">
        <v>5791</v>
      </c>
      <c r="K96" s="176">
        <v>44760</v>
      </c>
      <c r="L96" s="5">
        <v>44804</v>
      </c>
      <c r="M96" s="1199" t="s">
        <v>4700</v>
      </c>
      <c r="N96" s="3" t="s">
        <v>2541</v>
      </c>
      <c r="O96" s="939" t="s">
        <v>5044</v>
      </c>
      <c r="P96" s="937">
        <v>44854</v>
      </c>
      <c r="Q96" s="937">
        <v>44854</v>
      </c>
      <c r="R96" s="1034" t="s">
        <v>4223</v>
      </c>
      <c r="S96" s="943"/>
      <c r="T96" s="1747"/>
      <c r="U96" s="936"/>
    </row>
    <row r="97" spans="1:21" ht="109.5" customHeight="1">
      <c r="A97" s="936" t="s">
        <v>2479</v>
      </c>
      <c r="B97" s="937">
        <v>44854</v>
      </c>
      <c r="C97" s="936">
        <v>3</v>
      </c>
      <c r="D97" s="936">
        <f t="shared" si="5"/>
        <v>4</v>
      </c>
      <c r="E97" s="511" t="s">
        <v>4490</v>
      </c>
      <c r="F97" s="936">
        <f t="shared" si="6"/>
        <v>3</v>
      </c>
      <c r="G97" s="1035" t="s">
        <v>5354</v>
      </c>
      <c r="H97" s="939"/>
      <c r="I97" s="939" t="s">
        <v>550</v>
      </c>
      <c r="J97" s="1752" t="s">
        <v>5790</v>
      </c>
      <c r="K97" s="176">
        <v>44812</v>
      </c>
      <c r="L97" s="177">
        <v>44834</v>
      </c>
      <c r="M97" s="1199" t="s">
        <v>4796</v>
      </c>
      <c r="N97" s="3" t="s">
        <v>1975</v>
      </c>
      <c r="O97" s="939" t="s">
        <v>5044</v>
      </c>
      <c r="P97" s="937">
        <v>44854</v>
      </c>
      <c r="Q97" s="937">
        <v>44854</v>
      </c>
      <c r="R97" s="1034" t="s">
        <v>4223</v>
      </c>
      <c r="S97" s="943"/>
      <c r="T97" s="1747"/>
      <c r="U97" s="936"/>
    </row>
    <row r="98" spans="1:21" ht="117" customHeight="1">
      <c r="A98" s="936" t="s">
        <v>2479</v>
      </c>
      <c r="B98" s="937">
        <v>44854</v>
      </c>
      <c r="C98" s="936">
        <v>3</v>
      </c>
      <c r="D98" s="936">
        <f t="shared" si="5"/>
        <v>4</v>
      </c>
      <c r="E98" s="511" t="s">
        <v>4349</v>
      </c>
      <c r="F98" s="936">
        <f t="shared" si="6"/>
        <v>4</v>
      </c>
      <c r="G98" s="1035" t="s">
        <v>5355</v>
      </c>
      <c r="H98" s="939"/>
      <c r="I98" s="939" t="s">
        <v>550</v>
      </c>
      <c r="J98" s="1752" t="s">
        <v>5791</v>
      </c>
      <c r="K98" s="176">
        <v>44692</v>
      </c>
      <c r="L98" s="177">
        <v>44765</v>
      </c>
      <c r="M98" s="1199" t="s">
        <v>2717</v>
      </c>
      <c r="N98" s="3" t="s">
        <v>1976</v>
      </c>
      <c r="O98" s="939" t="s">
        <v>5044</v>
      </c>
      <c r="P98" s="937">
        <v>44854</v>
      </c>
      <c r="Q98" s="937">
        <v>44854</v>
      </c>
      <c r="R98" s="1034" t="s">
        <v>4223</v>
      </c>
      <c r="S98" s="943"/>
      <c r="T98" s="1747"/>
      <c r="U98" s="936"/>
    </row>
    <row r="99" spans="1:21" ht="40.5" customHeight="1">
      <c r="A99" s="936" t="s">
        <v>2479</v>
      </c>
      <c r="B99" s="937">
        <v>44694</v>
      </c>
      <c r="C99" s="936">
        <v>2</v>
      </c>
      <c r="D99" s="936">
        <f t="shared" si="5"/>
        <v>4</v>
      </c>
      <c r="E99" s="511" t="s">
        <v>5372</v>
      </c>
      <c r="F99" s="936">
        <f t="shared" si="6"/>
        <v>5</v>
      </c>
      <c r="G99" s="1035" t="s">
        <v>5154</v>
      </c>
      <c r="H99" s="939"/>
      <c r="I99" s="939" t="s">
        <v>550</v>
      </c>
      <c r="J99" s="1752" t="s">
        <v>5792</v>
      </c>
      <c r="K99" s="176">
        <v>44968</v>
      </c>
      <c r="L99" s="5">
        <v>44985</v>
      </c>
      <c r="M99" s="1199" t="s">
        <v>4772</v>
      </c>
      <c r="N99" s="3" t="s">
        <v>1975</v>
      </c>
      <c r="O99" s="939" t="s">
        <v>76</v>
      </c>
      <c r="P99" s="937">
        <v>44694</v>
      </c>
      <c r="Q99" s="937">
        <v>44694</v>
      </c>
      <c r="R99" s="1034" t="s">
        <v>4223</v>
      </c>
      <c r="S99" s="943"/>
      <c r="T99" s="1747" t="s">
        <v>5778</v>
      </c>
      <c r="U99" s="936"/>
    </row>
    <row r="100" spans="1:21" ht="67.5" customHeight="1">
      <c r="A100" s="936" t="s">
        <v>2479</v>
      </c>
      <c r="B100" s="937">
        <v>44854</v>
      </c>
      <c r="C100" s="936">
        <v>3</v>
      </c>
      <c r="D100" s="936">
        <f t="shared" si="5"/>
        <v>4</v>
      </c>
      <c r="E100" s="945"/>
      <c r="F100" s="936">
        <f t="shared" si="6"/>
        <v>6</v>
      </c>
      <c r="G100" s="1035" t="s">
        <v>5357</v>
      </c>
      <c r="H100" s="939"/>
      <c r="I100" s="939"/>
      <c r="J100" s="1752"/>
      <c r="K100" s="176"/>
      <c r="L100" s="5"/>
      <c r="M100" s="1199" t="s">
        <v>4773</v>
      </c>
      <c r="N100" s="3" t="s">
        <v>2527</v>
      </c>
      <c r="O100" s="939" t="s">
        <v>165</v>
      </c>
      <c r="P100" s="937">
        <v>44854</v>
      </c>
      <c r="Q100" s="937">
        <v>44854</v>
      </c>
      <c r="R100" s="1034" t="s">
        <v>4223</v>
      </c>
      <c r="S100" s="943"/>
      <c r="T100" s="1564"/>
      <c r="U100" s="936"/>
    </row>
    <row r="101" spans="1:21" ht="87.75" customHeight="1">
      <c r="A101" s="936" t="s">
        <v>2479</v>
      </c>
      <c r="B101" s="937">
        <v>44854</v>
      </c>
      <c r="C101" s="936">
        <v>3</v>
      </c>
      <c r="D101" s="936">
        <f t="shared" si="5"/>
        <v>4</v>
      </c>
      <c r="E101" s="945"/>
      <c r="F101" s="936">
        <f t="shared" si="6"/>
        <v>7</v>
      </c>
      <c r="G101" s="1035" t="s">
        <v>5358</v>
      </c>
      <c r="H101" s="939"/>
      <c r="I101" s="939"/>
      <c r="J101" s="1752"/>
      <c r="K101" s="176"/>
      <c r="L101" s="5"/>
      <c r="M101" s="1199" t="s">
        <v>2622</v>
      </c>
      <c r="N101" s="3" t="s">
        <v>2527</v>
      </c>
      <c r="O101" s="939" t="s">
        <v>165</v>
      </c>
      <c r="P101" s="937">
        <v>44854</v>
      </c>
      <c r="Q101" s="937">
        <v>44854</v>
      </c>
      <c r="R101" s="1034" t="s">
        <v>4223</v>
      </c>
      <c r="S101" s="943"/>
      <c r="T101" s="1564"/>
      <c r="U101" s="936"/>
    </row>
    <row r="102" spans="1:21" ht="40.5" customHeight="1">
      <c r="A102" s="936" t="s">
        <v>2479</v>
      </c>
      <c r="B102" s="937">
        <v>44694</v>
      </c>
      <c r="C102" s="936">
        <v>2</v>
      </c>
      <c r="D102" s="936">
        <f t="shared" si="5"/>
        <v>4</v>
      </c>
      <c r="E102" s="2"/>
      <c r="F102" s="936">
        <f t="shared" si="6"/>
        <v>8</v>
      </c>
      <c r="G102" s="1035" t="s">
        <v>5155</v>
      </c>
      <c r="H102" s="939"/>
      <c r="I102" s="939" t="s">
        <v>2313</v>
      </c>
      <c r="J102" s="1752"/>
      <c r="K102" s="176"/>
      <c r="L102" s="5"/>
      <c r="M102" s="1199" t="s">
        <v>4772</v>
      </c>
      <c r="N102" s="3" t="s">
        <v>1975</v>
      </c>
      <c r="O102" s="939" t="s">
        <v>76</v>
      </c>
      <c r="P102" s="937">
        <v>44694</v>
      </c>
      <c r="Q102" s="937">
        <v>44694</v>
      </c>
      <c r="R102" s="1034" t="s">
        <v>4223</v>
      </c>
      <c r="S102" s="943"/>
      <c r="T102" s="1747"/>
      <c r="U102" s="936"/>
    </row>
    <row r="103" spans="1:21" ht="47.25" customHeight="1">
      <c r="A103" s="936" t="s">
        <v>2479</v>
      </c>
      <c r="B103" s="937">
        <v>44694</v>
      </c>
      <c r="C103" s="936">
        <v>2</v>
      </c>
      <c r="D103" s="936">
        <f t="shared" si="5"/>
        <v>4</v>
      </c>
      <c r="E103" s="511" t="s">
        <v>5392</v>
      </c>
      <c r="F103" s="936">
        <f t="shared" si="6"/>
        <v>9</v>
      </c>
      <c r="G103" s="1035" t="s">
        <v>5190</v>
      </c>
      <c r="H103" s="939"/>
      <c r="I103" s="939" t="s">
        <v>550</v>
      </c>
      <c r="J103" s="1752" t="s">
        <v>5791</v>
      </c>
      <c r="K103" s="176">
        <v>45187</v>
      </c>
      <c r="L103" s="5">
        <v>45219</v>
      </c>
      <c r="M103" s="1199" t="s">
        <v>4772</v>
      </c>
      <c r="N103" s="3" t="s">
        <v>1975</v>
      </c>
      <c r="O103" s="939" t="s">
        <v>76</v>
      </c>
      <c r="P103" s="937">
        <v>44694</v>
      </c>
      <c r="Q103" s="937">
        <v>44694</v>
      </c>
      <c r="R103" s="1034" t="s">
        <v>4223</v>
      </c>
      <c r="S103" s="943"/>
      <c r="T103" s="1747" t="s">
        <v>5779</v>
      </c>
      <c r="U103" s="936"/>
    </row>
    <row r="104" spans="1:21" ht="60" customHeight="1">
      <c r="A104" s="936" t="s">
        <v>2479</v>
      </c>
      <c r="B104" s="937">
        <v>44694</v>
      </c>
      <c r="C104" s="936">
        <v>2</v>
      </c>
      <c r="D104" s="936">
        <f t="shared" si="5"/>
        <v>4</v>
      </c>
      <c r="E104" s="511" t="s">
        <v>5664</v>
      </c>
      <c r="F104" s="936">
        <f t="shared" si="6"/>
        <v>10</v>
      </c>
      <c r="G104" s="1035" t="s">
        <v>5174</v>
      </c>
      <c r="H104" s="939"/>
      <c r="I104" s="939" t="s">
        <v>550</v>
      </c>
      <c r="J104" s="1752" t="s">
        <v>5790</v>
      </c>
      <c r="K104" s="176">
        <v>45155</v>
      </c>
      <c r="L104" s="5">
        <v>45274</v>
      </c>
      <c r="M104" s="1199" t="s">
        <v>2639</v>
      </c>
      <c r="N104" s="3" t="s">
        <v>2527</v>
      </c>
      <c r="O104" s="939" t="s">
        <v>76</v>
      </c>
      <c r="P104" s="937">
        <v>44694</v>
      </c>
      <c r="Q104" s="937">
        <v>44694</v>
      </c>
      <c r="R104" s="1034" t="s">
        <v>4223</v>
      </c>
      <c r="S104" s="943"/>
      <c r="T104" s="1747" t="s">
        <v>5780</v>
      </c>
      <c r="U104" s="936"/>
    </row>
    <row r="105" spans="1:21" ht="47.25" customHeight="1">
      <c r="A105" s="936" t="s">
        <v>2479</v>
      </c>
      <c r="B105" s="937">
        <v>44526</v>
      </c>
      <c r="C105" s="936">
        <f>C104</f>
        <v>2</v>
      </c>
      <c r="D105" s="936">
        <f t="shared" si="5"/>
        <v>4</v>
      </c>
      <c r="E105" s="511" t="s">
        <v>3454</v>
      </c>
      <c r="F105" s="936">
        <f t="shared" si="6"/>
        <v>11</v>
      </c>
      <c r="G105" s="1035" t="s">
        <v>5297</v>
      </c>
      <c r="H105" s="939"/>
      <c r="I105" s="939" t="s">
        <v>550</v>
      </c>
      <c r="J105" s="1752" t="s">
        <v>5791</v>
      </c>
      <c r="K105" s="176">
        <v>44523</v>
      </c>
      <c r="L105" s="5">
        <v>44559</v>
      </c>
      <c r="M105" s="1199" t="s">
        <v>2639</v>
      </c>
      <c r="N105" s="3" t="s">
        <v>5284</v>
      </c>
      <c r="O105" s="939" t="s">
        <v>76</v>
      </c>
      <c r="P105" s="937">
        <v>44526</v>
      </c>
      <c r="Q105" s="937">
        <v>44526</v>
      </c>
      <c r="R105" s="1034" t="s">
        <v>4223</v>
      </c>
      <c r="S105" s="943"/>
      <c r="T105" s="1747"/>
      <c r="U105" s="936"/>
    </row>
    <row r="106" spans="1:21" ht="105" customHeight="1">
      <c r="A106" s="936" t="s">
        <v>2479</v>
      </c>
      <c r="B106" s="937">
        <v>44854</v>
      </c>
      <c r="C106" s="936">
        <v>3</v>
      </c>
      <c r="D106" s="936">
        <f t="shared" si="5"/>
        <v>4</v>
      </c>
      <c r="E106" s="936"/>
      <c r="F106" s="936">
        <v>1</v>
      </c>
      <c r="G106" s="1035" t="s">
        <v>5363</v>
      </c>
      <c r="H106" s="939"/>
      <c r="I106" s="939" t="s">
        <v>2313</v>
      </c>
      <c r="J106" s="1752"/>
      <c r="K106" s="176"/>
      <c r="L106" s="5"/>
      <c r="M106" s="1199" t="s">
        <v>2491</v>
      </c>
      <c r="N106" s="3" t="s">
        <v>1975</v>
      </c>
      <c r="O106" s="939" t="s">
        <v>866</v>
      </c>
      <c r="P106" s="937">
        <v>44854</v>
      </c>
      <c r="Q106" s="937">
        <v>44854</v>
      </c>
      <c r="R106" s="1034" t="s">
        <v>4223</v>
      </c>
      <c r="S106" s="943"/>
      <c r="T106" s="1564"/>
      <c r="U106" s="936"/>
    </row>
    <row r="107" spans="1:21" ht="129.75" customHeight="1">
      <c r="A107" s="936" t="s">
        <v>2479</v>
      </c>
      <c r="B107" s="937">
        <v>44854</v>
      </c>
      <c r="C107" s="936">
        <v>3</v>
      </c>
      <c r="D107" s="936">
        <f t="shared" si="5"/>
        <v>4</v>
      </c>
      <c r="E107" s="936"/>
      <c r="F107" s="936">
        <f>F106+1</f>
        <v>2</v>
      </c>
      <c r="G107" s="1035" t="s">
        <v>5364</v>
      </c>
      <c r="H107" s="939"/>
      <c r="I107" s="939" t="s">
        <v>2313</v>
      </c>
      <c r="J107" s="1752"/>
      <c r="K107" s="176"/>
      <c r="L107" s="5"/>
      <c r="M107" s="1199" t="s">
        <v>3144</v>
      </c>
      <c r="N107" s="3" t="s">
        <v>1975</v>
      </c>
      <c r="O107" s="939" t="s">
        <v>866</v>
      </c>
      <c r="P107" s="937">
        <v>44854</v>
      </c>
      <c r="Q107" s="937">
        <v>44854</v>
      </c>
      <c r="R107" s="1034" t="s">
        <v>4223</v>
      </c>
      <c r="S107" s="943"/>
      <c r="T107" s="1564"/>
      <c r="U107" s="936"/>
    </row>
    <row r="108" spans="1:21" ht="89.25" customHeight="1">
      <c r="A108" s="936" t="s">
        <v>2479</v>
      </c>
      <c r="B108" s="937">
        <v>44854</v>
      </c>
      <c r="C108" s="936">
        <v>3</v>
      </c>
      <c r="D108" s="936">
        <f t="shared" si="5"/>
        <v>4</v>
      </c>
      <c r="E108" s="936"/>
      <c r="F108" s="936">
        <f>F107+1</f>
        <v>3</v>
      </c>
      <c r="G108" s="1035" t="s">
        <v>5212</v>
      </c>
      <c r="H108" s="939"/>
      <c r="I108" s="939" t="s">
        <v>2313</v>
      </c>
      <c r="J108" s="1752"/>
      <c r="K108" s="176"/>
      <c r="L108" s="5"/>
      <c r="M108" s="1199" t="s">
        <v>4688</v>
      </c>
      <c r="N108" s="3" t="s">
        <v>2509</v>
      </c>
      <c r="O108" s="939" t="s">
        <v>866</v>
      </c>
      <c r="P108" s="937">
        <v>44854</v>
      </c>
      <c r="Q108" s="937">
        <v>44854</v>
      </c>
      <c r="R108" s="1034" t="s">
        <v>4223</v>
      </c>
      <c r="S108" s="943"/>
      <c r="T108" s="1564"/>
      <c r="U108" s="936"/>
    </row>
    <row r="109" spans="1:21" ht="60" customHeight="1">
      <c r="A109" s="936" t="s">
        <v>2479</v>
      </c>
      <c r="B109" s="937">
        <v>44854</v>
      </c>
      <c r="C109" s="936">
        <v>3</v>
      </c>
      <c r="D109" s="936">
        <v>5</v>
      </c>
      <c r="E109" s="945" t="s">
        <v>4351</v>
      </c>
      <c r="F109" s="936">
        <v>1</v>
      </c>
      <c r="G109" s="1035" t="s">
        <v>5365</v>
      </c>
      <c r="H109" s="939"/>
      <c r="I109" s="939" t="s">
        <v>550</v>
      </c>
      <c r="J109" s="1752" t="s">
        <v>5791</v>
      </c>
      <c r="K109" s="176">
        <v>44712</v>
      </c>
      <c r="L109" s="5">
        <v>44722</v>
      </c>
      <c r="M109" s="1199" t="s">
        <v>5366</v>
      </c>
      <c r="N109" s="3" t="s">
        <v>2580</v>
      </c>
      <c r="O109" s="939" t="s">
        <v>76</v>
      </c>
      <c r="P109" s="937">
        <v>44854</v>
      </c>
      <c r="Q109" s="937">
        <v>44854</v>
      </c>
      <c r="R109" s="1034" t="s">
        <v>4223</v>
      </c>
      <c r="S109" s="943"/>
      <c r="T109" s="1747"/>
      <c r="U109" s="936"/>
    </row>
    <row r="110" spans="1:21" ht="47.25" customHeight="1">
      <c r="A110" s="936" t="s">
        <v>2479</v>
      </c>
      <c r="B110" s="937">
        <v>44854</v>
      </c>
      <c r="C110" s="936">
        <v>3</v>
      </c>
      <c r="D110" s="936">
        <v>5</v>
      </c>
      <c r="E110" s="511" t="s">
        <v>4358</v>
      </c>
      <c r="F110" s="936">
        <f>F109+1</f>
        <v>2</v>
      </c>
      <c r="G110" s="1035" t="s">
        <v>5367</v>
      </c>
      <c r="H110" s="939"/>
      <c r="I110" s="939" t="s">
        <v>550</v>
      </c>
      <c r="J110" s="1752" t="s">
        <v>5791</v>
      </c>
      <c r="K110" s="176">
        <v>44865</v>
      </c>
      <c r="L110" s="5">
        <v>44883</v>
      </c>
      <c r="M110" s="1199" t="s">
        <v>4713</v>
      </c>
      <c r="N110" s="3" t="s">
        <v>2580</v>
      </c>
      <c r="O110" s="939" t="s">
        <v>76</v>
      </c>
      <c r="P110" s="937">
        <v>44854</v>
      </c>
      <c r="Q110" s="937">
        <v>44854</v>
      </c>
      <c r="R110" s="1034" t="s">
        <v>4223</v>
      </c>
      <c r="S110" s="943"/>
      <c r="T110" s="1747"/>
      <c r="U110" s="936"/>
    </row>
    <row r="111" spans="1:21" ht="50.25" customHeight="1">
      <c r="A111" s="936" t="s">
        <v>2479</v>
      </c>
      <c r="B111" s="937">
        <v>44854</v>
      </c>
      <c r="C111" s="936">
        <v>3</v>
      </c>
      <c r="D111" s="936">
        <f t="shared" ref="D111:D117" si="7">D110</f>
        <v>5</v>
      </c>
      <c r="E111" s="511" t="s">
        <v>4358</v>
      </c>
      <c r="F111" s="936">
        <f>F110+1</f>
        <v>3</v>
      </c>
      <c r="G111" s="1035" t="s">
        <v>5369</v>
      </c>
      <c r="H111" s="939"/>
      <c r="I111" s="939" t="s">
        <v>550</v>
      </c>
      <c r="J111" s="1752" t="s">
        <v>5791</v>
      </c>
      <c r="K111" s="176">
        <v>44865</v>
      </c>
      <c r="L111" s="5">
        <v>44883</v>
      </c>
      <c r="M111" s="1199" t="s">
        <v>4713</v>
      </c>
      <c r="N111" s="3" t="s">
        <v>2580</v>
      </c>
      <c r="O111" s="939" t="s">
        <v>76</v>
      </c>
      <c r="P111" s="937">
        <v>44854</v>
      </c>
      <c r="Q111" s="937">
        <v>44854</v>
      </c>
      <c r="R111" s="1034" t="s">
        <v>4223</v>
      </c>
      <c r="S111" s="943"/>
      <c r="T111" s="1747"/>
      <c r="U111" s="936"/>
    </row>
    <row r="112" spans="1:21" ht="70.5" customHeight="1">
      <c r="A112" s="936" t="s">
        <v>2479</v>
      </c>
      <c r="B112" s="937">
        <v>44854</v>
      </c>
      <c r="C112" s="936">
        <v>3</v>
      </c>
      <c r="D112" s="936">
        <f t="shared" si="7"/>
        <v>5</v>
      </c>
      <c r="E112" s="945" t="s">
        <v>351</v>
      </c>
      <c r="F112" s="936">
        <f>F111+1</f>
        <v>4</v>
      </c>
      <c r="G112" s="1035" t="s">
        <v>5368</v>
      </c>
      <c r="H112" s="939"/>
      <c r="I112" s="939" t="s">
        <v>550</v>
      </c>
      <c r="J112" s="1752"/>
      <c r="K112" s="176"/>
      <c r="L112" s="5"/>
      <c r="M112" s="1199" t="s">
        <v>4773</v>
      </c>
      <c r="N112" s="3" t="s">
        <v>2527</v>
      </c>
      <c r="O112" s="939" t="s">
        <v>76</v>
      </c>
      <c r="P112" s="937">
        <v>44854</v>
      </c>
      <c r="Q112" s="937">
        <v>44854</v>
      </c>
      <c r="R112" s="1034" t="s">
        <v>4223</v>
      </c>
      <c r="S112" s="943"/>
      <c r="T112" s="1747" t="s">
        <v>5784</v>
      </c>
      <c r="U112" s="936"/>
    </row>
    <row r="113" spans="1:21" ht="85.5" customHeight="1">
      <c r="A113" s="936" t="s">
        <v>2479</v>
      </c>
      <c r="B113" s="937">
        <v>44854</v>
      </c>
      <c r="C113" s="936">
        <v>3</v>
      </c>
      <c r="D113" s="936">
        <f t="shared" si="7"/>
        <v>5</v>
      </c>
      <c r="E113" s="945"/>
      <c r="F113" s="936">
        <f>F112+1</f>
        <v>5</v>
      </c>
      <c r="G113" s="1035" t="s">
        <v>5358</v>
      </c>
      <c r="H113" s="939"/>
      <c r="I113" s="939"/>
      <c r="J113" s="1752"/>
      <c r="K113" s="176"/>
      <c r="L113" s="5"/>
      <c r="M113" s="1199" t="s">
        <v>2622</v>
      </c>
      <c r="N113" s="3" t="s">
        <v>2527</v>
      </c>
      <c r="O113" s="939" t="s">
        <v>76</v>
      </c>
      <c r="P113" s="937">
        <v>44854</v>
      </c>
      <c r="Q113" s="937">
        <v>44854</v>
      </c>
      <c r="R113" s="1034" t="s">
        <v>4223</v>
      </c>
      <c r="S113" s="943"/>
      <c r="T113" s="1564"/>
      <c r="U113" s="936"/>
    </row>
    <row r="114" spans="1:21" ht="98.25" customHeight="1">
      <c r="A114" s="936" t="s">
        <v>2479</v>
      </c>
      <c r="B114" s="937">
        <v>44854</v>
      </c>
      <c r="C114" s="936">
        <v>3</v>
      </c>
      <c r="D114" s="936">
        <f t="shared" si="7"/>
        <v>5</v>
      </c>
      <c r="E114" s="945" t="s">
        <v>4520</v>
      </c>
      <c r="F114" s="936">
        <f>F113+1</f>
        <v>6</v>
      </c>
      <c r="G114" s="1035" t="s">
        <v>5370</v>
      </c>
      <c r="H114" s="939"/>
      <c r="I114" s="939" t="s">
        <v>550</v>
      </c>
      <c r="J114" s="1752" t="s">
        <v>5790</v>
      </c>
      <c r="K114" s="176">
        <v>44862</v>
      </c>
      <c r="L114" s="177">
        <v>44898</v>
      </c>
      <c r="M114" s="1199" t="s">
        <v>4824</v>
      </c>
      <c r="N114" s="3" t="s">
        <v>1975</v>
      </c>
      <c r="O114" s="939" t="s">
        <v>76</v>
      </c>
      <c r="P114" s="937">
        <v>44854</v>
      </c>
      <c r="Q114" s="937">
        <v>44854</v>
      </c>
      <c r="R114" s="1034" t="s">
        <v>4223</v>
      </c>
      <c r="S114" s="943"/>
      <c r="T114" s="1747"/>
      <c r="U114" s="936"/>
    </row>
    <row r="115" spans="1:21" ht="95.25" customHeight="1">
      <c r="A115" s="936" t="s">
        <v>2479</v>
      </c>
      <c r="B115" s="937">
        <v>44854</v>
      </c>
      <c r="C115" s="936">
        <v>3</v>
      </c>
      <c r="D115" s="936">
        <f t="shared" si="7"/>
        <v>5</v>
      </c>
      <c r="E115" s="936"/>
      <c r="F115" s="936">
        <v>1</v>
      </c>
      <c r="G115" s="1035" t="s">
        <v>5211</v>
      </c>
      <c r="H115" s="939"/>
      <c r="I115" s="939" t="s">
        <v>2313</v>
      </c>
      <c r="J115" s="1752"/>
      <c r="K115" s="176"/>
      <c r="L115" s="5"/>
      <c r="M115" s="1199" t="s">
        <v>3144</v>
      </c>
      <c r="N115" s="3" t="s">
        <v>1975</v>
      </c>
      <c r="O115" s="939" t="s">
        <v>351</v>
      </c>
      <c r="P115" s="937">
        <v>44854</v>
      </c>
      <c r="Q115" s="937">
        <v>44854</v>
      </c>
      <c r="R115" s="1034" t="s">
        <v>4223</v>
      </c>
      <c r="S115" s="943"/>
      <c r="T115" s="1564"/>
      <c r="U115" s="936"/>
    </row>
    <row r="116" spans="1:21" ht="83.25" customHeight="1">
      <c r="A116" s="936" t="s">
        <v>2479</v>
      </c>
      <c r="B116" s="937">
        <v>44854</v>
      </c>
      <c r="C116" s="936">
        <v>3</v>
      </c>
      <c r="D116" s="936">
        <f t="shared" si="7"/>
        <v>5</v>
      </c>
      <c r="E116" s="936"/>
      <c r="F116" s="936">
        <f>F115+1</f>
        <v>2</v>
      </c>
      <c r="G116" s="1035" t="s">
        <v>5212</v>
      </c>
      <c r="H116" s="939"/>
      <c r="I116" s="939" t="s">
        <v>2313</v>
      </c>
      <c r="J116" s="1752"/>
      <c r="K116" s="176"/>
      <c r="L116" s="5"/>
      <c r="M116" s="1199" t="s">
        <v>4688</v>
      </c>
      <c r="N116" s="3" t="s">
        <v>1975</v>
      </c>
      <c r="O116" s="939" t="s">
        <v>351</v>
      </c>
      <c r="P116" s="937">
        <v>44854</v>
      </c>
      <c r="Q116" s="937">
        <v>44854</v>
      </c>
      <c r="R116" s="1034" t="s">
        <v>4223</v>
      </c>
      <c r="S116" s="943"/>
      <c r="T116" s="1564"/>
      <c r="U116" s="936"/>
    </row>
    <row r="117" spans="1:21" ht="111" customHeight="1">
      <c r="A117" s="936" t="s">
        <v>2479</v>
      </c>
      <c r="B117" s="937">
        <v>44854</v>
      </c>
      <c r="C117" s="936">
        <v>3</v>
      </c>
      <c r="D117" s="936">
        <f t="shared" si="7"/>
        <v>5</v>
      </c>
      <c r="E117" s="936"/>
      <c r="F117" s="936">
        <f>F116+1</f>
        <v>3</v>
      </c>
      <c r="G117" s="1035" t="s">
        <v>5371</v>
      </c>
      <c r="H117" s="939"/>
      <c r="I117" s="939" t="s">
        <v>2313</v>
      </c>
      <c r="J117" s="1752"/>
      <c r="K117" s="176"/>
      <c r="L117" s="5"/>
      <c r="M117" s="1199" t="s">
        <v>2491</v>
      </c>
      <c r="N117" s="3" t="s">
        <v>1975</v>
      </c>
      <c r="O117" s="939" t="s">
        <v>351</v>
      </c>
      <c r="P117" s="937">
        <v>44854</v>
      </c>
      <c r="Q117" s="937">
        <v>44854</v>
      </c>
      <c r="R117" s="1034" t="s">
        <v>4223</v>
      </c>
      <c r="S117" s="943"/>
      <c r="T117" s="1564"/>
      <c r="U117" s="936"/>
    </row>
    <row r="118" spans="1:21" ht="40.5" customHeight="1">
      <c r="A118" s="936" t="s">
        <v>2479</v>
      </c>
      <c r="B118" s="937">
        <v>44694</v>
      </c>
      <c r="C118" s="936">
        <v>2</v>
      </c>
      <c r="D118" s="936">
        <v>14</v>
      </c>
      <c r="E118" s="936"/>
      <c r="F118" s="936">
        <v>1</v>
      </c>
      <c r="G118" s="1035" t="s">
        <v>5043</v>
      </c>
      <c r="H118" s="939"/>
      <c r="I118" s="939" t="s">
        <v>2313</v>
      </c>
      <c r="J118" s="1752"/>
      <c r="K118" s="176"/>
      <c r="L118" s="5"/>
      <c r="M118" s="1199" t="s">
        <v>67</v>
      </c>
      <c r="N118" s="3" t="s">
        <v>1975</v>
      </c>
      <c r="O118" s="939" t="s">
        <v>5042</v>
      </c>
      <c r="P118" s="937">
        <v>44694</v>
      </c>
      <c r="Q118" s="937">
        <v>44694</v>
      </c>
      <c r="R118" s="1034" t="s">
        <v>4223</v>
      </c>
      <c r="S118" s="943"/>
      <c r="T118" s="1564"/>
      <c r="U118" s="936"/>
    </row>
    <row r="119" spans="1:21" ht="83.25" customHeight="1">
      <c r="A119" s="936" t="s">
        <v>2479</v>
      </c>
      <c r="B119" s="937">
        <v>44694</v>
      </c>
      <c r="C119" s="936">
        <v>2</v>
      </c>
      <c r="D119" s="936">
        <v>14</v>
      </c>
      <c r="E119" s="936"/>
      <c r="F119" s="936">
        <v>1</v>
      </c>
      <c r="G119" s="1035" t="s">
        <v>5045</v>
      </c>
      <c r="H119" s="939"/>
      <c r="I119" s="939" t="s">
        <v>2313</v>
      </c>
      <c r="J119" s="1752"/>
      <c r="K119" s="176"/>
      <c r="L119" s="5"/>
      <c r="M119" s="1199" t="s">
        <v>4773</v>
      </c>
      <c r="N119" s="3" t="s">
        <v>1975</v>
      </c>
      <c r="O119" s="939" t="s">
        <v>5044</v>
      </c>
      <c r="P119" s="937">
        <v>44694</v>
      </c>
      <c r="Q119" s="937">
        <v>44694</v>
      </c>
      <c r="R119" s="1034" t="s">
        <v>4223</v>
      </c>
      <c r="S119" s="943"/>
      <c r="T119" s="1564"/>
      <c r="U119" s="936"/>
    </row>
    <row r="120" spans="1:21" ht="78" customHeight="1">
      <c r="A120" s="936" t="s">
        <v>2479</v>
      </c>
      <c r="B120" s="937">
        <v>44694</v>
      </c>
      <c r="C120" s="936">
        <v>2</v>
      </c>
      <c r="D120" s="936">
        <v>14</v>
      </c>
      <c r="E120" s="936"/>
      <c r="F120" s="936">
        <f t="shared" ref="F120:F127" si="8">F119+1</f>
        <v>2</v>
      </c>
      <c r="G120" s="1035" t="s">
        <v>5045</v>
      </c>
      <c r="H120" s="939"/>
      <c r="I120" s="939" t="s">
        <v>2313</v>
      </c>
      <c r="J120" s="1752"/>
      <c r="K120" s="176"/>
      <c r="L120" s="5"/>
      <c r="M120" s="1199" t="s">
        <v>4773</v>
      </c>
      <c r="N120" s="3" t="s">
        <v>1975</v>
      </c>
      <c r="O120" s="939" t="s">
        <v>5044</v>
      </c>
      <c r="P120" s="937">
        <v>44694</v>
      </c>
      <c r="Q120" s="937">
        <v>44694</v>
      </c>
      <c r="R120" s="1034" t="s">
        <v>4223</v>
      </c>
      <c r="S120" s="943"/>
      <c r="T120" s="1564"/>
      <c r="U120" s="936"/>
    </row>
    <row r="121" spans="1:21" ht="86.25" customHeight="1">
      <c r="A121" s="936" t="s">
        <v>2479</v>
      </c>
      <c r="B121" s="937">
        <v>44694</v>
      </c>
      <c r="C121" s="936">
        <v>2</v>
      </c>
      <c r="D121" s="936">
        <v>14</v>
      </c>
      <c r="E121" s="936"/>
      <c r="F121" s="936">
        <f t="shared" si="8"/>
        <v>3</v>
      </c>
      <c r="G121" s="1035" t="s">
        <v>5056</v>
      </c>
      <c r="H121" s="939"/>
      <c r="I121" s="939" t="s">
        <v>2313</v>
      </c>
      <c r="J121" s="1752"/>
      <c r="K121" s="176"/>
      <c r="L121" s="5"/>
      <c r="M121" s="1199" t="s">
        <v>2693</v>
      </c>
      <c r="N121" s="3" t="s">
        <v>1975</v>
      </c>
      <c r="O121" s="939" t="s">
        <v>5044</v>
      </c>
      <c r="P121" s="937">
        <v>44694</v>
      </c>
      <c r="Q121" s="937">
        <v>44694</v>
      </c>
      <c r="R121" s="1034" t="s">
        <v>4223</v>
      </c>
      <c r="S121" s="943"/>
      <c r="T121" s="1564"/>
      <c r="U121" s="936"/>
    </row>
    <row r="122" spans="1:21" ht="82.5" customHeight="1">
      <c r="A122" s="936" t="s">
        <v>2479</v>
      </c>
      <c r="B122" s="937">
        <v>44694</v>
      </c>
      <c r="C122" s="936">
        <v>2</v>
      </c>
      <c r="D122" s="936">
        <v>14</v>
      </c>
      <c r="E122" s="936"/>
      <c r="F122" s="936">
        <f t="shared" si="8"/>
        <v>4</v>
      </c>
      <c r="G122" s="1035" t="s">
        <v>5057</v>
      </c>
      <c r="H122" s="939"/>
      <c r="I122" s="939" t="s">
        <v>2313</v>
      </c>
      <c r="J122" s="1752"/>
      <c r="K122" s="176"/>
      <c r="L122" s="5"/>
      <c r="M122" s="1199" t="s">
        <v>4651</v>
      </c>
      <c r="N122" s="3" t="s">
        <v>1975</v>
      </c>
      <c r="O122" s="939" t="s">
        <v>5044</v>
      </c>
      <c r="P122" s="937">
        <v>44694</v>
      </c>
      <c r="Q122" s="937">
        <v>44694</v>
      </c>
      <c r="R122" s="1034" t="s">
        <v>4223</v>
      </c>
      <c r="S122" s="943"/>
      <c r="T122" s="1564"/>
      <c r="U122" s="936"/>
    </row>
    <row r="123" spans="1:21" ht="86.25" customHeight="1">
      <c r="A123" s="936" t="s">
        <v>2479</v>
      </c>
      <c r="B123" s="937">
        <v>44694</v>
      </c>
      <c r="C123" s="936">
        <v>2</v>
      </c>
      <c r="D123" s="936">
        <v>14</v>
      </c>
      <c r="E123" s="944" t="s">
        <v>4520</v>
      </c>
      <c r="F123" s="936">
        <f t="shared" si="8"/>
        <v>5</v>
      </c>
      <c r="G123" s="1035" t="s">
        <v>5058</v>
      </c>
      <c r="H123" s="939"/>
      <c r="I123" s="939" t="s">
        <v>550</v>
      </c>
      <c r="J123" s="1752" t="s">
        <v>5790</v>
      </c>
      <c r="K123" s="176">
        <v>44862</v>
      </c>
      <c r="L123" s="5">
        <v>44898</v>
      </c>
      <c r="M123" s="1199" t="s">
        <v>4824</v>
      </c>
      <c r="N123" s="3" t="s">
        <v>1975</v>
      </c>
      <c r="O123" s="939" t="s">
        <v>5044</v>
      </c>
      <c r="P123" s="937">
        <v>44694</v>
      </c>
      <c r="Q123" s="937">
        <v>44694</v>
      </c>
      <c r="R123" s="1034" t="s">
        <v>4223</v>
      </c>
      <c r="S123" s="943"/>
      <c r="T123" s="1747"/>
      <c r="U123" s="936"/>
    </row>
    <row r="124" spans="1:21" ht="58.5" customHeight="1">
      <c r="A124" s="936" t="s">
        <v>2479</v>
      </c>
      <c r="B124" s="937">
        <v>44694</v>
      </c>
      <c r="C124" s="936">
        <v>2</v>
      </c>
      <c r="D124" s="936">
        <v>14</v>
      </c>
      <c r="E124" s="936"/>
      <c r="F124" s="936">
        <f t="shared" si="8"/>
        <v>6</v>
      </c>
      <c r="G124" s="1035" t="s">
        <v>5059</v>
      </c>
      <c r="H124" s="939"/>
      <c r="I124" s="939" t="s">
        <v>2313</v>
      </c>
      <c r="J124" s="1752"/>
      <c r="K124" s="176"/>
      <c r="L124" s="5"/>
      <c r="M124" s="1199" t="s">
        <v>5316</v>
      </c>
      <c r="N124" s="3" t="s">
        <v>1975</v>
      </c>
      <c r="O124" s="939" t="s">
        <v>5044</v>
      </c>
      <c r="P124" s="937">
        <v>44694</v>
      </c>
      <c r="Q124" s="937">
        <v>44694</v>
      </c>
      <c r="R124" s="1034" t="s">
        <v>4223</v>
      </c>
      <c r="S124" s="943"/>
      <c r="T124" s="1564"/>
      <c r="U124" s="936"/>
    </row>
    <row r="125" spans="1:21" ht="40.5" customHeight="1">
      <c r="A125" s="936" t="s">
        <v>2479</v>
      </c>
      <c r="B125" s="937">
        <v>44694</v>
      </c>
      <c r="C125" s="936">
        <v>2</v>
      </c>
      <c r="D125" s="936">
        <v>14</v>
      </c>
      <c r="E125" s="936"/>
      <c r="F125" s="936">
        <f t="shared" si="8"/>
        <v>7</v>
      </c>
      <c r="G125" s="1035" t="s">
        <v>5060</v>
      </c>
      <c r="H125" s="939"/>
      <c r="I125" s="939" t="s">
        <v>2313</v>
      </c>
      <c r="J125" s="1752"/>
      <c r="K125" s="176"/>
      <c r="L125" s="5"/>
      <c r="M125" s="1199" t="s">
        <v>2491</v>
      </c>
      <c r="N125" s="3" t="s">
        <v>1975</v>
      </c>
      <c r="O125" s="939" t="s">
        <v>5044</v>
      </c>
      <c r="P125" s="937">
        <v>44694</v>
      </c>
      <c r="Q125" s="937">
        <v>44694</v>
      </c>
      <c r="R125" s="1034" t="s">
        <v>4223</v>
      </c>
      <c r="S125" s="943"/>
      <c r="T125" s="1564"/>
      <c r="U125" s="936"/>
    </row>
    <row r="126" spans="1:21" ht="40.5" customHeight="1">
      <c r="A126" s="936" t="s">
        <v>2479</v>
      </c>
      <c r="B126" s="937">
        <v>44694</v>
      </c>
      <c r="C126" s="936">
        <v>2</v>
      </c>
      <c r="D126" s="936">
        <v>14</v>
      </c>
      <c r="E126" s="936"/>
      <c r="F126" s="936">
        <f t="shared" si="8"/>
        <v>8</v>
      </c>
      <c r="G126" s="1035" t="s">
        <v>5061</v>
      </c>
      <c r="H126" s="939"/>
      <c r="I126" s="939" t="s">
        <v>2313</v>
      </c>
      <c r="J126" s="1752"/>
      <c r="K126" s="176"/>
      <c r="L126" s="5"/>
      <c r="M126" s="1199" t="s">
        <v>67</v>
      </c>
      <c r="N126" s="3" t="s">
        <v>1975</v>
      </c>
      <c r="O126" s="939" t="s">
        <v>5044</v>
      </c>
      <c r="P126" s="937">
        <v>44694</v>
      </c>
      <c r="Q126" s="937">
        <v>44694</v>
      </c>
      <c r="R126" s="1034" t="s">
        <v>4223</v>
      </c>
      <c r="S126" s="943"/>
      <c r="T126" s="1564"/>
      <c r="U126" s="936"/>
    </row>
    <row r="127" spans="1:21" ht="54.75" customHeight="1">
      <c r="A127" s="936" t="s">
        <v>2479</v>
      </c>
      <c r="B127" s="937">
        <v>44694</v>
      </c>
      <c r="C127" s="936">
        <v>2</v>
      </c>
      <c r="D127" s="936">
        <v>14</v>
      </c>
      <c r="E127" s="936"/>
      <c r="F127" s="936">
        <f t="shared" si="8"/>
        <v>9</v>
      </c>
      <c r="G127" s="1035" t="s">
        <v>5062</v>
      </c>
      <c r="H127" s="939"/>
      <c r="I127" s="939" t="s">
        <v>2313</v>
      </c>
      <c r="J127" s="1752"/>
      <c r="K127" s="176"/>
      <c r="L127" s="5"/>
      <c r="M127" s="1199" t="s">
        <v>2491</v>
      </c>
      <c r="N127" s="3" t="s">
        <v>1975</v>
      </c>
      <c r="O127" s="939" t="s">
        <v>5044</v>
      </c>
      <c r="P127" s="937">
        <v>44694</v>
      </c>
      <c r="Q127" s="937">
        <v>44694</v>
      </c>
      <c r="R127" s="1034" t="s">
        <v>4223</v>
      </c>
      <c r="S127" s="943"/>
      <c r="T127" s="1564"/>
      <c r="U127" s="936"/>
    </row>
    <row r="128" spans="1:21" ht="40.5" customHeight="1">
      <c r="A128" s="936" t="s">
        <v>2479</v>
      </c>
      <c r="B128" s="937">
        <v>44694</v>
      </c>
      <c r="C128" s="936">
        <v>2</v>
      </c>
      <c r="D128" s="936">
        <v>14</v>
      </c>
      <c r="E128" s="945" t="s">
        <v>351</v>
      </c>
      <c r="F128" s="936">
        <v>1</v>
      </c>
      <c r="G128" s="1035" t="s">
        <v>5063</v>
      </c>
      <c r="H128" s="939"/>
      <c r="I128" s="939" t="s">
        <v>550</v>
      </c>
      <c r="J128" s="1752"/>
      <c r="K128" s="176"/>
      <c r="L128" s="5"/>
      <c r="M128" s="1199" t="s">
        <v>67</v>
      </c>
      <c r="N128" s="3" t="s">
        <v>1976</v>
      </c>
      <c r="O128" s="939" t="s">
        <v>3111</v>
      </c>
      <c r="P128" s="937">
        <v>44694</v>
      </c>
      <c r="Q128" s="937">
        <v>44694</v>
      </c>
      <c r="R128" s="1034" t="s">
        <v>4223</v>
      </c>
      <c r="S128" s="943"/>
      <c r="T128" s="1747"/>
      <c r="U128" s="936"/>
    </row>
    <row r="129" spans="1:21" ht="40.5" customHeight="1">
      <c r="A129" s="936" t="s">
        <v>2479</v>
      </c>
      <c r="B129" s="937">
        <v>44694</v>
      </c>
      <c r="C129" s="936">
        <v>2</v>
      </c>
      <c r="D129" s="936">
        <v>14</v>
      </c>
      <c r="E129" s="945"/>
      <c r="F129" s="936">
        <f t="shared" ref="F129:F136" si="9">F128+1</f>
        <v>2</v>
      </c>
      <c r="G129" s="1035" t="s">
        <v>5063</v>
      </c>
      <c r="H129" s="939"/>
      <c r="I129" s="939"/>
      <c r="J129" s="1752"/>
      <c r="K129" s="176"/>
      <c r="L129" s="5"/>
      <c r="M129" s="1199" t="s">
        <v>67</v>
      </c>
      <c r="N129" s="3" t="s">
        <v>2535</v>
      </c>
      <c r="O129" s="939" t="s">
        <v>3111</v>
      </c>
      <c r="P129" s="937">
        <v>44694</v>
      </c>
      <c r="Q129" s="937">
        <v>44694</v>
      </c>
      <c r="R129" s="1034" t="s">
        <v>4223</v>
      </c>
      <c r="S129" s="943"/>
      <c r="T129" s="1564"/>
      <c r="U129" s="936"/>
    </row>
    <row r="130" spans="1:21" ht="40.5" customHeight="1">
      <c r="A130" s="936" t="s">
        <v>2479</v>
      </c>
      <c r="B130" s="937">
        <v>44694</v>
      </c>
      <c r="C130" s="936">
        <v>2</v>
      </c>
      <c r="D130" s="936">
        <f t="shared" ref="D130:D161" si="10">D129</f>
        <v>14</v>
      </c>
      <c r="E130" s="945" t="s">
        <v>351</v>
      </c>
      <c r="F130" s="936">
        <f t="shared" si="9"/>
        <v>3</v>
      </c>
      <c r="G130" s="1035" t="s">
        <v>5064</v>
      </c>
      <c r="H130" s="939"/>
      <c r="I130" s="939" t="s">
        <v>550</v>
      </c>
      <c r="J130" s="1752"/>
      <c r="K130" s="176"/>
      <c r="L130" s="5"/>
      <c r="M130" s="1199" t="s">
        <v>2657</v>
      </c>
      <c r="N130" s="3" t="s">
        <v>5067</v>
      </c>
      <c r="O130" s="939" t="s">
        <v>3111</v>
      </c>
      <c r="P130" s="937">
        <v>44694</v>
      </c>
      <c r="Q130" s="937">
        <v>44694</v>
      </c>
      <c r="R130" s="1034" t="s">
        <v>4223</v>
      </c>
      <c r="S130" s="943"/>
      <c r="T130" s="1747"/>
      <c r="U130" s="936"/>
    </row>
    <row r="131" spans="1:21" ht="53.25" customHeight="1">
      <c r="A131" s="936" t="s">
        <v>2479</v>
      </c>
      <c r="B131" s="937">
        <v>44694</v>
      </c>
      <c r="C131" s="936">
        <v>2</v>
      </c>
      <c r="D131" s="936">
        <f t="shared" si="10"/>
        <v>14</v>
      </c>
      <c r="E131" s="936"/>
      <c r="F131" s="936">
        <f t="shared" si="9"/>
        <v>4</v>
      </c>
      <c r="G131" s="1035" t="s">
        <v>5065</v>
      </c>
      <c r="H131" s="939"/>
      <c r="I131" s="939" t="s">
        <v>2313</v>
      </c>
      <c r="J131" s="1752"/>
      <c r="K131" s="176"/>
      <c r="L131" s="5"/>
      <c r="M131" s="1199" t="s">
        <v>4825</v>
      </c>
      <c r="N131" s="3" t="s">
        <v>2527</v>
      </c>
      <c r="O131" s="939" t="s">
        <v>3111</v>
      </c>
      <c r="P131" s="937">
        <v>44694</v>
      </c>
      <c r="Q131" s="937">
        <v>44694</v>
      </c>
      <c r="R131" s="1034" t="s">
        <v>4223</v>
      </c>
      <c r="S131" s="943"/>
      <c r="T131" s="1564"/>
      <c r="U131" s="936"/>
    </row>
    <row r="132" spans="1:21" ht="60.75" customHeight="1">
      <c r="A132" s="936" t="s">
        <v>2479</v>
      </c>
      <c r="B132" s="937">
        <v>44694</v>
      </c>
      <c r="C132" s="936">
        <v>2</v>
      </c>
      <c r="D132" s="936">
        <f t="shared" si="10"/>
        <v>14</v>
      </c>
      <c r="E132" s="936"/>
      <c r="F132" s="936">
        <f t="shared" si="9"/>
        <v>5</v>
      </c>
      <c r="G132" s="1035" t="s">
        <v>5065</v>
      </c>
      <c r="H132" s="939"/>
      <c r="I132" s="939" t="s">
        <v>2313</v>
      </c>
      <c r="J132" s="1752"/>
      <c r="K132" s="176"/>
      <c r="L132" s="5"/>
      <c r="M132" s="1199" t="s">
        <v>67</v>
      </c>
      <c r="N132" s="3" t="s">
        <v>2518</v>
      </c>
      <c r="O132" s="939" t="s">
        <v>3111</v>
      </c>
      <c r="P132" s="937">
        <v>44694</v>
      </c>
      <c r="Q132" s="937">
        <v>44694</v>
      </c>
      <c r="R132" s="1034" t="s">
        <v>4223</v>
      </c>
      <c r="S132" s="943"/>
      <c r="T132" s="1564"/>
      <c r="U132" s="936"/>
    </row>
    <row r="133" spans="1:21" ht="54.75" customHeight="1">
      <c r="A133" s="936" t="s">
        <v>2479</v>
      </c>
      <c r="B133" s="937">
        <v>44694</v>
      </c>
      <c r="C133" s="936">
        <v>2</v>
      </c>
      <c r="D133" s="936">
        <f t="shared" si="10"/>
        <v>14</v>
      </c>
      <c r="E133" s="936"/>
      <c r="F133" s="936">
        <f t="shared" si="9"/>
        <v>6</v>
      </c>
      <c r="G133" s="1035" t="s">
        <v>5065</v>
      </c>
      <c r="H133" s="939"/>
      <c r="I133" s="939" t="s">
        <v>2313</v>
      </c>
      <c r="J133" s="1752"/>
      <c r="K133" s="176"/>
      <c r="L133" s="5"/>
      <c r="M133" s="1199" t="s">
        <v>67</v>
      </c>
      <c r="N133" s="3" t="s">
        <v>2535</v>
      </c>
      <c r="O133" s="939" t="s">
        <v>3111</v>
      </c>
      <c r="P133" s="937">
        <v>44694</v>
      </c>
      <c r="Q133" s="937">
        <v>44694</v>
      </c>
      <c r="R133" s="1034" t="s">
        <v>4223</v>
      </c>
      <c r="S133" s="943"/>
      <c r="T133" s="1564"/>
      <c r="U133" s="936"/>
    </row>
    <row r="134" spans="1:21" ht="58.5" customHeight="1">
      <c r="A134" s="936" t="s">
        <v>2479</v>
      </c>
      <c r="B134" s="937">
        <v>44694</v>
      </c>
      <c r="C134" s="936">
        <v>2</v>
      </c>
      <c r="D134" s="936">
        <f t="shared" si="10"/>
        <v>14</v>
      </c>
      <c r="E134" s="936"/>
      <c r="F134" s="936">
        <f t="shared" si="9"/>
        <v>7</v>
      </c>
      <c r="G134" s="1035" t="s">
        <v>5065</v>
      </c>
      <c r="H134" s="939"/>
      <c r="I134" s="939" t="s">
        <v>2313</v>
      </c>
      <c r="J134" s="1752"/>
      <c r="K134" s="176"/>
      <c r="L134" s="5"/>
      <c r="M134" s="1199" t="s">
        <v>67</v>
      </c>
      <c r="N134" s="3" t="s">
        <v>2616</v>
      </c>
      <c r="O134" s="939" t="s">
        <v>3111</v>
      </c>
      <c r="P134" s="937">
        <v>44694</v>
      </c>
      <c r="Q134" s="937">
        <v>44694</v>
      </c>
      <c r="R134" s="1034" t="s">
        <v>4223</v>
      </c>
      <c r="S134" s="943"/>
      <c r="T134" s="1564"/>
      <c r="U134" s="936"/>
    </row>
    <row r="135" spans="1:21" ht="40.5" customHeight="1">
      <c r="A135" s="936" t="s">
        <v>2479</v>
      </c>
      <c r="B135" s="937">
        <v>44694</v>
      </c>
      <c r="C135" s="936">
        <v>2</v>
      </c>
      <c r="D135" s="936">
        <f t="shared" si="10"/>
        <v>14</v>
      </c>
      <c r="E135" s="936"/>
      <c r="F135" s="936">
        <f t="shared" si="9"/>
        <v>8</v>
      </c>
      <c r="G135" s="1035" t="s">
        <v>5066</v>
      </c>
      <c r="H135" s="939"/>
      <c r="I135" s="939" t="s">
        <v>2313</v>
      </c>
      <c r="J135" s="1752"/>
      <c r="K135" s="176"/>
      <c r="L135" s="5"/>
      <c r="M135" s="1199" t="s">
        <v>67</v>
      </c>
      <c r="N135" s="3" t="s">
        <v>2607</v>
      </c>
      <c r="O135" s="939" t="s">
        <v>3111</v>
      </c>
      <c r="P135" s="937">
        <v>44694</v>
      </c>
      <c r="Q135" s="937">
        <v>44694</v>
      </c>
      <c r="R135" s="1034" t="s">
        <v>4223</v>
      </c>
      <c r="S135" s="943"/>
      <c r="T135" s="1564"/>
      <c r="U135" s="936"/>
    </row>
    <row r="136" spans="1:21" ht="40.5" customHeight="1">
      <c r="A136" s="936" t="s">
        <v>2479</v>
      </c>
      <c r="B136" s="937">
        <v>44694</v>
      </c>
      <c r="C136" s="936">
        <v>2</v>
      </c>
      <c r="D136" s="936">
        <f t="shared" si="10"/>
        <v>14</v>
      </c>
      <c r="E136" s="936"/>
      <c r="F136" s="936">
        <f t="shared" si="9"/>
        <v>9</v>
      </c>
      <c r="G136" s="1035" t="s">
        <v>5066</v>
      </c>
      <c r="H136" s="939"/>
      <c r="I136" s="939" t="s">
        <v>2313</v>
      </c>
      <c r="J136" s="1752"/>
      <c r="K136" s="176"/>
      <c r="L136" s="5"/>
      <c r="M136" s="1199" t="s">
        <v>67</v>
      </c>
      <c r="N136" s="3" t="s">
        <v>2509</v>
      </c>
      <c r="O136" s="939" t="s">
        <v>3111</v>
      </c>
      <c r="P136" s="937">
        <v>44694</v>
      </c>
      <c r="Q136" s="937">
        <v>44694</v>
      </c>
      <c r="R136" s="1034" t="s">
        <v>4223</v>
      </c>
      <c r="S136" s="943"/>
      <c r="T136" s="1564"/>
      <c r="U136" s="936"/>
    </row>
    <row r="137" spans="1:21" ht="40.5" customHeight="1">
      <c r="A137" s="936" t="s">
        <v>2479</v>
      </c>
      <c r="B137" s="937">
        <v>44694</v>
      </c>
      <c r="C137" s="936">
        <v>2</v>
      </c>
      <c r="D137" s="936">
        <f t="shared" si="10"/>
        <v>14</v>
      </c>
      <c r="E137" s="936"/>
      <c r="F137" s="936">
        <v>1</v>
      </c>
      <c r="G137" s="1035" t="s">
        <v>5068</v>
      </c>
      <c r="H137" s="939"/>
      <c r="I137" s="939" t="s">
        <v>2313</v>
      </c>
      <c r="J137" s="1752"/>
      <c r="K137" s="176"/>
      <c r="L137" s="5"/>
      <c r="M137" s="1199" t="s">
        <v>67</v>
      </c>
      <c r="N137" s="3" t="s">
        <v>1975</v>
      </c>
      <c r="O137" s="939" t="s">
        <v>165</v>
      </c>
      <c r="P137" s="937">
        <v>44694</v>
      </c>
      <c r="Q137" s="937">
        <v>44694</v>
      </c>
      <c r="R137" s="1034" t="s">
        <v>4223</v>
      </c>
      <c r="S137" s="943"/>
      <c r="T137" s="1564"/>
      <c r="U137" s="936"/>
    </row>
    <row r="138" spans="1:21" ht="40.5" customHeight="1">
      <c r="A138" s="936" t="s">
        <v>2479</v>
      </c>
      <c r="B138" s="937">
        <v>44694</v>
      </c>
      <c r="C138" s="936">
        <v>2</v>
      </c>
      <c r="D138" s="936">
        <f t="shared" si="10"/>
        <v>14</v>
      </c>
      <c r="E138" s="936"/>
      <c r="F138" s="936">
        <f t="shared" ref="F138:F148" si="11">F137+1</f>
        <v>2</v>
      </c>
      <c r="G138" s="1035" t="s">
        <v>5069</v>
      </c>
      <c r="H138" s="939"/>
      <c r="I138" s="939" t="s">
        <v>2313</v>
      </c>
      <c r="J138" s="1752"/>
      <c r="K138" s="176"/>
      <c r="L138" s="5"/>
      <c r="M138" s="1199" t="s">
        <v>5318</v>
      </c>
      <c r="N138" s="3" t="s">
        <v>1975</v>
      </c>
      <c r="O138" s="939" t="s">
        <v>165</v>
      </c>
      <c r="P138" s="937">
        <v>44694</v>
      </c>
      <c r="Q138" s="937">
        <v>44694</v>
      </c>
      <c r="R138" s="1034" t="s">
        <v>4223</v>
      </c>
      <c r="S138" s="943"/>
      <c r="T138" s="1564"/>
      <c r="U138" s="936"/>
    </row>
    <row r="139" spans="1:21" ht="40.5" customHeight="1">
      <c r="A139" s="936" t="s">
        <v>2479</v>
      </c>
      <c r="B139" s="937">
        <v>44694</v>
      </c>
      <c r="C139" s="936">
        <v>2</v>
      </c>
      <c r="D139" s="936">
        <f t="shared" si="10"/>
        <v>14</v>
      </c>
      <c r="E139" s="936"/>
      <c r="F139" s="936">
        <f t="shared" si="11"/>
        <v>3</v>
      </c>
      <c r="G139" s="1035" t="s">
        <v>5070</v>
      </c>
      <c r="H139" s="939"/>
      <c r="I139" s="939" t="s">
        <v>2313</v>
      </c>
      <c r="J139" s="1752"/>
      <c r="K139" s="176"/>
      <c r="L139" s="5"/>
      <c r="M139" s="1199" t="s">
        <v>5319</v>
      </c>
      <c r="N139" s="3" t="s">
        <v>1976</v>
      </c>
      <c r="O139" s="939" t="s">
        <v>165</v>
      </c>
      <c r="P139" s="937">
        <v>44694</v>
      </c>
      <c r="Q139" s="937">
        <v>44694</v>
      </c>
      <c r="R139" s="1034" t="s">
        <v>4223</v>
      </c>
      <c r="S139" s="943"/>
      <c r="T139" s="1564"/>
      <c r="U139" s="936"/>
    </row>
    <row r="140" spans="1:21" ht="40.5" customHeight="1">
      <c r="A140" s="936" t="s">
        <v>2479</v>
      </c>
      <c r="B140" s="937">
        <v>44694</v>
      </c>
      <c r="C140" s="936">
        <v>2</v>
      </c>
      <c r="D140" s="936">
        <f t="shared" si="10"/>
        <v>14</v>
      </c>
      <c r="E140" s="936"/>
      <c r="F140" s="936">
        <f t="shared" si="11"/>
        <v>4</v>
      </c>
      <c r="G140" s="1035" t="s">
        <v>5071</v>
      </c>
      <c r="H140" s="939"/>
      <c r="I140" s="939" t="s">
        <v>2313</v>
      </c>
      <c r="J140" s="1752"/>
      <c r="K140" s="176"/>
      <c r="L140" s="5"/>
      <c r="M140" s="1199" t="s">
        <v>67</v>
      </c>
      <c r="N140" s="3" t="s">
        <v>1975</v>
      </c>
      <c r="O140" s="939" t="s">
        <v>165</v>
      </c>
      <c r="P140" s="937">
        <v>44694</v>
      </c>
      <c r="Q140" s="937">
        <v>44694</v>
      </c>
      <c r="R140" s="1034" t="s">
        <v>4223</v>
      </c>
      <c r="S140" s="943"/>
      <c r="T140" s="1564"/>
      <c r="U140" s="936"/>
    </row>
    <row r="141" spans="1:21" ht="40.5" customHeight="1">
      <c r="A141" s="936" t="s">
        <v>2479</v>
      </c>
      <c r="B141" s="937">
        <v>44694</v>
      </c>
      <c r="C141" s="936">
        <v>2</v>
      </c>
      <c r="D141" s="936">
        <f t="shared" si="10"/>
        <v>14</v>
      </c>
      <c r="E141" s="936"/>
      <c r="F141" s="936">
        <f t="shared" si="11"/>
        <v>5</v>
      </c>
      <c r="G141" s="1035" t="s">
        <v>5072</v>
      </c>
      <c r="H141" s="939"/>
      <c r="I141" s="939" t="s">
        <v>2313</v>
      </c>
      <c r="J141" s="1752"/>
      <c r="K141" s="176"/>
      <c r="L141" s="5"/>
      <c r="M141" s="1199" t="s">
        <v>67</v>
      </c>
      <c r="N141" s="3" t="s">
        <v>4229</v>
      </c>
      <c r="O141" s="939" t="s">
        <v>165</v>
      </c>
      <c r="P141" s="937">
        <v>44694</v>
      </c>
      <c r="Q141" s="937">
        <v>44694</v>
      </c>
      <c r="R141" s="1034" t="s">
        <v>4223</v>
      </c>
      <c r="S141" s="943"/>
      <c r="T141" s="1564"/>
      <c r="U141" s="936"/>
    </row>
    <row r="142" spans="1:21" ht="59.25" customHeight="1">
      <c r="A142" s="936" t="s">
        <v>2479</v>
      </c>
      <c r="B142" s="937">
        <v>44526</v>
      </c>
      <c r="C142" s="936">
        <f>C141</f>
        <v>2</v>
      </c>
      <c r="D142" s="936">
        <f t="shared" si="10"/>
        <v>14</v>
      </c>
      <c r="E142" s="511" t="s">
        <v>3452</v>
      </c>
      <c r="F142" s="936">
        <f t="shared" si="11"/>
        <v>6</v>
      </c>
      <c r="G142" s="1035" t="s">
        <v>5298</v>
      </c>
      <c r="H142" s="939"/>
      <c r="I142" s="939" t="s">
        <v>550</v>
      </c>
      <c r="J142" s="1752" t="s">
        <v>5791</v>
      </c>
      <c r="K142" s="176">
        <v>44523</v>
      </c>
      <c r="L142" s="5">
        <v>44530</v>
      </c>
      <c r="M142" s="1199" t="s">
        <v>4796</v>
      </c>
      <c r="N142" s="3" t="s">
        <v>5284</v>
      </c>
      <c r="O142" s="939" t="s">
        <v>76</v>
      </c>
      <c r="P142" s="937">
        <v>44526</v>
      </c>
      <c r="Q142" s="937">
        <v>44526</v>
      </c>
      <c r="R142" s="1034" t="s">
        <v>4223</v>
      </c>
      <c r="S142" s="943"/>
      <c r="T142" s="1747"/>
      <c r="U142" s="936"/>
    </row>
    <row r="143" spans="1:21" ht="63.75" customHeight="1">
      <c r="A143" s="936" t="s">
        <v>2479</v>
      </c>
      <c r="B143" s="937">
        <v>44526</v>
      </c>
      <c r="C143" s="936">
        <f>C142</f>
        <v>2</v>
      </c>
      <c r="D143" s="936">
        <f t="shared" si="10"/>
        <v>14</v>
      </c>
      <c r="E143" s="511" t="s">
        <v>3451</v>
      </c>
      <c r="F143" s="936">
        <f t="shared" si="11"/>
        <v>7</v>
      </c>
      <c r="G143" s="1035" t="s">
        <v>5777</v>
      </c>
      <c r="H143" s="939"/>
      <c r="I143" s="939" t="s">
        <v>550</v>
      </c>
      <c r="J143" s="1752" t="s">
        <v>5791</v>
      </c>
      <c r="K143" s="176">
        <v>44523</v>
      </c>
      <c r="L143" s="5">
        <v>44560</v>
      </c>
      <c r="M143" s="1199" t="s">
        <v>4796</v>
      </c>
      <c r="N143" s="3" t="s">
        <v>5284</v>
      </c>
      <c r="O143" s="939" t="s">
        <v>76</v>
      </c>
      <c r="P143" s="937">
        <v>44526</v>
      </c>
      <c r="Q143" s="937">
        <v>44526</v>
      </c>
      <c r="R143" s="1034" t="s">
        <v>4223</v>
      </c>
      <c r="S143" s="943"/>
      <c r="T143" s="1747"/>
      <c r="U143" s="936"/>
    </row>
    <row r="144" spans="1:21" ht="40.5" customHeight="1">
      <c r="A144" s="936" t="s">
        <v>2479</v>
      </c>
      <c r="B144" s="937">
        <v>44694</v>
      </c>
      <c r="C144" s="936">
        <v>2</v>
      </c>
      <c r="D144" s="936">
        <f t="shared" si="10"/>
        <v>14</v>
      </c>
      <c r="E144" s="936"/>
      <c r="F144" s="936">
        <f t="shared" si="11"/>
        <v>8</v>
      </c>
      <c r="G144" s="1035" t="s">
        <v>5075</v>
      </c>
      <c r="H144" s="939"/>
      <c r="I144" s="939" t="s">
        <v>2313</v>
      </c>
      <c r="J144" s="1752"/>
      <c r="K144" s="176"/>
      <c r="L144" s="5"/>
      <c r="M144" s="1199"/>
      <c r="N144" s="3" t="s">
        <v>2506</v>
      </c>
      <c r="O144" s="939" t="s">
        <v>165</v>
      </c>
      <c r="P144" s="937">
        <v>44694</v>
      </c>
      <c r="Q144" s="937">
        <v>44694</v>
      </c>
      <c r="R144" s="1034" t="s">
        <v>4223</v>
      </c>
      <c r="S144" s="943"/>
      <c r="T144" s="1564"/>
      <c r="U144" s="936"/>
    </row>
    <row r="145" spans="1:21" ht="40.5" customHeight="1">
      <c r="A145" s="936" t="s">
        <v>2479</v>
      </c>
      <c r="B145" s="937">
        <v>44694</v>
      </c>
      <c r="C145" s="936">
        <v>2</v>
      </c>
      <c r="D145" s="936">
        <f t="shared" si="10"/>
        <v>14</v>
      </c>
      <c r="E145" s="936"/>
      <c r="F145" s="936">
        <f t="shared" si="11"/>
        <v>9</v>
      </c>
      <c r="G145" s="1035" t="s">
        <v>5076</v>
      </c>
      <c r="H145" s="939"/>
      <c r="I145" s="939" t="s">
        <v>2313</v>
      </c>
      <c r="J145" s="1752"/>
      <c r="K145" s="176"/>
      <c r="L145" s="5"/>
      <c r="M145" s="1199" t="s">
        <v>4749</v>
      </c>
      <c r="N145" s="3" t="s">
        <v>2506</v>
      </c>
      <c r="O145" s="939" t="s">
        <v>165</v>
      </c>
      <c r="P145" s="937">
        <v>44694</v>
      </c>
      <c r="Q145" s="937">
        <v>44694</v>
      </c>
      <c r="R145" s="1034" t="s">
        <v>4223</v>
      </c>
      <c r="S145" s="943"/>
      <c r="T145" s="1564"/>
      <c r="U145" s="936"/>
    </row>
    <row r="146" spans="1:21" ht="40.5" customHeight="1">
      <c r="A146" s="936" t="s">
        <v>2479</v>
      </c>
      <c r="B146" s="937">
        <v>44694</v>
      </c>
      <c r="C146" s="936">
        <v>2</v>
      </c>
      <c r="D146" s="936">
        <f t="shared" si="10"/>
        <v>14</v>
      </c>
      <c r="E146" s="936"/>
      <c r="F146" s="936">
        <f t="shared" si="11"/>
        <v>10</v>
      </c>
      <c r="G146" s="1035" t="s">
        <v>5077</v>
      </c>
      <c r="H146" s="939"/>
      <c r="I146" s="939" t="s">
        <v>2313</v>
      </c>
      <c r="J146" s="1752"/>
      <c r="K146" s="176"/>
      <c r="L146" s="5"/>
      <c r="M146" s="1199" t="s">
        <v>4809</v>
      </c>
      <c r="N146" s="3" t="s">
        <v>1975</v>
      </c>
      <c r="O146" s="939" t="s">
        <v>165</v>
      </c>
      <c r="P146" s="937">
        <v>44694</v>
      </c>
      <c r="Q146" s="937">
        <v>44694</v>
      </c>
      <c r="R146" s="1034" t="s">
        <v>4223</v>
      </c>
      <c r="S146" s="943"/>
      <c r="T146" s="1564"/>
      <c r="U146" s="936"/>
    </row>
    <row r="147" spans="1:21" ht="40.5" customHeight="1">
      <c r="A147" s="936" t="s">
        <v>2479</v>
      </c>
      <c r="B147" s="937">
        <v>44694</v>
      </c>
      <c r="C147" s="936">
        <v>2</v>
      </c>
      <c r="D147" s="936">
        <f t="shared" si="10"/>
        <v>14</v>
      </c>
      <c r="E147" s="936"/>
      <c r="F147" s="936">
        <f t="shared" si="11"/>
        <v>11</v>
      </c>
      <c r="G147" s="1035" t="s">
        <v>5078</v>
      </c>
      <c r="H147" s="939"/>
      <c r="I147" s="939" t="s">
        <v>2313</v>
      </c>
      <c r="J147" s="1752"/>
      <c r="K147" s="176"/>
      <c r="L147" s="5"/>
      <c r="M147" s="1199" t="s">
        <v>2621</v>
      </c>
      <c r="N147" s="3" t="s">
        <v>1975</v>
      </c>
      <c r="O147" s="939" t="s">
        <v>165</v>
      </c>
      <c r="P147" s="937">
        <v>44694</v>
      </c>
      <c r="Q147" s="937">
        <v>44694</v>
      </c>
      <c r="R147" s="1034" t="s">
        <v>4223</v>
      </c>
      <c r="S147" s="943"/>
      <c r="T147" s="1564"/>
      <c r="U147" s="936"/>
    </row>
    <row r="148" spans="1:21" ht="40.5" customHeight="1">
      <c r="A148" s="936" t="s">
        <v>2479</v>
      </c>
      <c r="B148" s="937">
        <v>44694</v>
      </c>
      <c r="C148" s="936">
        <v>2</v>
      </c>
      <c r="D148" s="936">
        <f t="shared" si="10"/>
        <v>14</v>
      </c>
      <c r="E148" s="936"/>
      <c r="F148" s="936">
        <f t="shared" si="11"/>
        <v>12</v>
      </c>
      <c r="G148" s="1035" t="s">
        <v>5079</v>
      </c>
      <c r="H148" s="939"/>
      <c r="I148" s="939" t="s">
        <v>2313</v>
      </c>
      <c r="J148" s="1752"/>
      <c r="K148" s="176"/>
      <c r="L148" s="5"/>
      <c r="M148" s="1199"/>
      <c r="N148" s="3" t="s">
        <v>4229</v>
      </c>
      <c r="O148" s="939" t="s">
        <v>165</v>
      </c>
      <c r="P148" s="937">
        <v>44694</v>
      </c>
      <c r="Q148" s="937">
        <v>44694</v>
      </c>
      <c r="R148" s="1034" t="s">
        <v>4223</v>
      </c>
      <c r="S148" s="943"/>
      <c r="T148" s="1564"/>
      <c r="U148" s="936"/>
    </row>
    <row r="149" spans="1:21" ht="40.5" customHeight="1">
      <c r="A149" s="936" t="s">
        <v>2479</v>
      </c>
      <c r="B149" s="937">
        <v>44694</v>
      </c>
      <c r="C149" s="936">
        <v>2</v>
      </c>
      <c r="D149" s="936">
        <f t="shared" si="10"/>
        <v>14</v>
      </c>
      <c r="E149" s="511" t="s">
        <v>4056</v>
      </c>
      <c r="F149" s="936">
        <v>1</v>
      </c>
      <c r="G149" s="1035" t="s">
        <v>5196</v>
      </c>
      <c r="H149" s="939"/>
      <c r="I149" s="939"/>
      <c r="J149" s="1752"/>
      <c r="K149" s="176"/>
      <c r="L149" s="177"/>
      <c r="M149" s="1199" t="s">
        <v>3149</v>
      </c>
      <c r="N149" s="3" t="s">
        <v>2518</v>
      </c>
      <c r="O149" s="939" t="s">
        <v>5051</v>
      </c>
      <c r="P149" s="937">
        <v>44694</v>
      </c>
      <c r="Q149" s="937">
        <v>44694</v>
      </c>
      <c r="R149" s="1034" t="s">
        <v>4223</v>
      </c>
      <c r="S149" s="943"/>
      <c r="T149" s="1747"/>
      <c r="U149" s="936"/>
    </row>
    <row r="150" spans="1:21" ht="40.5" customHeight="1">
      <c r="A150" s="936" t="s">
        <v>2479</v>
      </c>
      <c r="B150" s="937">
        <v>44694</v>
      </c>
      <c r="C150" s="936">
        <v>2</v>
      </c>
      <c r="D150" s="936">
        <f t="shared" si="10"/>
        <v>14</v>
      </c>
      <c r="E150" s="945"/>
      <c r="F150" s="936">
        <f t="shared" ref="F150:F168" si="12">F149+1</f>
        <v>2</v>
      </c>
      <c r="G150" s="1035" t="s">
        <v>5081</v>
      </c>
      <c r="H150" s="939"/>
      <c r="I150" s="939"/>
      <c r="J150" s="1752"/>
      <c r="K150" s="176"/>
      <c r="L150" s="5"/>
      <c r="M150" s="1199" t="s">
        <v>4893</v>
      </c>
      <c r="N150" s="3" t="s">
        <v>2527</v>
      </c>
      <c r="O150" s="939" t="s">
        <v>165</v>
      </c>
      <c r="P150" s="937">
        <v>44694</v>
      </c>
      <c r="Q150" s="937">
        <v>44694</v>
      </c>
      <c r="R150" s="1034" t="s">
        <v>4223</v>
      </c>
      <c r="S150" s="943"/>
      <c r="T150" s="1747"/>
      <c r="U150" s="936"/>
    </row>
    <row r="151" spans="1:21" ht="40.5" customHeight="1">
      <c r="A151" s="936" t="s">
        <v>2479</v>
      </c>
      <c r="B151" s="937">
        <v>44694</v>
      </c>
      <c r="C151" s="936">
        <v>2</v>
      </c>
      <c r="D151" s="936">
        <f t="shared" si="10"/>
        <v>14</v>
      </c>
      <c r="E151" s="936"/>
      <c r="F151" s="936">
        <f t="shared" si="12"/>
        <v>3</v>
      </c>
      <c r="G151" s="1035" t="s">
        <v>5082</v>
      </c>
      <c r="H151" s="939"/>
      <c r="I151" s="939" t="s">
        <v>2313</v>
      </c>
      <c r="J151" s="1752"/>
      <c r="K151" s="176"/>
      <c r="L151" s="5"/>
      <c r="M151" s="1199"/>
      <c r="N151" s="3" t="s">
        <v>1975</v>
      </c>
      <c r="O151" s="939" t="s">
        <v>165</v>
      </c>
      <c r="P151" s="937">
        <v>44694</v>
      </c>
      <c r="Q151" s="937">
        <v>44694</v>
      </c>
      <c r="R151" s="1034" t="s">
        <v>4223</v>
      </c>
      <c r="S151" s="943"/>
      <c r="T151" s="1564"/>
      <c r="U151" s="936"/>
    </row>
    <row r="152" spans="1:21" ht="54.75" customHeight="1">
      <c r="A152" s="936" t="s">
        <v>2479</v>
      </c>
      <c r="B152" s="937">
        <v>44694</v>
      </c>
      <c r="C152" s="936">
        <v>2</v>
      </c>
      <c r="D152" s="936">
        <f t="shared" si="10"/>
        <v>14</v>
      </c>
      <c r="E152" s="936"/>
      <c r="F152" s="936">
        <f t="shared" si="12"/>
        <v>4</v>
      </c>
      <c r="G152" s="1035" t="s">
        <v>5083</v>
      </c>
      <c r="H152" s="939"/>
      <c r="I152" s="939" t="s">
        <v>2313</v>
      </c>
      <c r="J152" s="1752"/>
      <c r="K152" s="176"/>
      <c r="L152" s="5"/>
      <c r="M152" s="1199" t="s">
        <v>4734</v>
      </c>
      <c r="N152" s="3" t="s">
        <v>1975</v>
      </c>
      <c r="O152" s="939" t="s">
        <v>165</v>
      </c>
      <c r="P152" s="937">
        <v>44694</v>
      </c>
      <c r="Q152" s="937">
        <v>44694</v>
      </c>
      <c r="R152" s="1034" t="s">
        <v>4223</v>
      </c>
      <c r="S152" s="943"/>
      <c r="T152" s="1564"/>
      <c r="U152" s="936"/>
    </row>
    <row r="153" spans="1:21" ht="57.75" customHeight="1">
      <c r="A153" s="936" t="s">
        <v>2479</v>
      </c>
      <c r="B153" s="937">
        <v>44694</v>
      </c>
      <c r="C153" s="936">
        <v>2</v>
      </c>
      <c r="D153" s="936">
        <f t="shared" si="10"/>
        <v>14</v>
      </c>
      <c r="E153" s="936"/>
      <c r="F153" s="936">
        <f t="shared" si="12"/>
        <v>5</v>
      </c>
      <c r="G153" s="1035" t="s">
        <v>5084</v>
      </c>
      <c r="H153" s="939"/>
      <c r="I153" s="939" t="s">
        <v>2313</v>
      </c>
      <c r="J153" s="1752"/>
      <c r="K153" s="176"/>
      <c r="L153" s="5"/>
      <c r="M153" s="1199" t="s">
        <v>5322</v>
      </c>
      <c r="N153" s="3" t="s">
        <v>5093</v>
      </c>
      <c r="O153" s="939" t="s">
        <v>165</v>
      </c>
      <c r="P153" s="937">
        <v>44694</v>
      </c>
      <c r="Q153" s="937">
        <v>44694</v>
      </c>
      <c r="R153" s="1034" t="s">
        <v>4223</v>
      </c>
      <c r="S153" s="943"/>
      <c r="T153" s="1564"/>
      <c r="U153" s="936"/>
    </row>
    <row r="154" spans="1:21" ht="40.5" customHeight="1">
      <c r="A154" s="936" t="s">
        <v>2479</v>
      </c>
      <c r="B154" s="937">
        <v>44694</v>
      </c>
      <c r="C154" s="936">
        <v>2</v>
      </c>
      <c r="D154" s="936">
        <f t="shared" si="10"/>
        <v>14</v>
      </c>
      <c r="E154" s="936"/>
      <c r="F154" s="936">
        <f t="shared" si="12"/>
        <v>6</v>
      </c>
      <c r="G154" s="1035" t="s">
        <v>5085</v>
      </c>
      <c r="H154" s="939"/>
      <c r="I154" s="939" t="s">
        <v>2313</v>
      </c>
      <c r="J154" s="1752"/>
      <c r="K154" s="176"/>
      <c r="L154" s="5"/>
      <c r="M154" s="1199" t="s">
        <v>3146</v>
      </c>
      <c r="N154" s="3" t="s">
        <v>1975</v>
      </c>
      <c r="O154" s="939" t="s">
        <v>165</v>
      </c>
      <c r="P154" s="937">
        <v>44694</v>
      </c>
      <c r="Q154" s="937">
        <v>44694</v>
      </c>
      <c r="R154" s="1034" t="s">
        <v>4223</v>
      </c>
      <c r="S154" s="943"/>
      <c r="T154" s="1564"/>
      <c r="U154" s="936"/>
    </row>
    <row r="155" spans="1:21" ht="40.5" customHeight="1">
      <c r="A155" s="936" t="s">
        <v>2479</v>
      </c>
      <c r="B155" s="937">
        <v>44694</v>
      </c>
      <c r="C155" s="936">
        <v>2</v>
      </c>
      <c r="D155" s="936">
        <f t="shared" si="10"/>
        <v>14</v>
      </c>
      <c r="E155" s="936"/>
      <c r="F155" s="936">
        <f t="shared" si="12"/>
        <v>7</v>
      </c>
      <c r="G155" s="1035" t="s">
        <v>5086</v>
      </c>
      <c r="H155" s="939"/>
      <c r="I155" s="939" t="s">
        <v>2313</v>
      </c>
      <c r="J155" s="1752"/>
      <c r="K155" s="176"/>
      <c r="L155" s="5"/>
      <c r="M155" s="1199"/>
      <c r="N155" s="3" t="s">
        <v>1976</v>
      </c>
      <c r="O155" s="939" t="s">
        <v>165</v>
      </c>
      <c r="P155" s="937">
        <v>44694</v>
      </c>
      <c r="Q155" s="937">
        <v>44694</v>
      </c>
      <c r="R155" s="1034" t="s">
        <v>4223</v>
      </c>
      <c r="S155" s="943"/>
      <c r="T155" s="1564"/>
      <c r="U155" s="936"/>
    </row>
    <row r="156" spans="1:21" ht="40.5" customHeight="1">
      <c r="A156" s="936" t="s">
        <v>2479</v>
      </c>
      <c r="B156" s="937">
        <v>44694</v>
      </c>
      <c r="C156" s="936">
        <v>2</v>
      </c>
      <c r="D156" s="936">
        <f t="shared" si="10"/>
        <v>14</v>
      </c>
      <c r="E156" s="936"/>
      <c r="F156" s="936">
        <f t="shared" si="12"/>
        <v>8</v>
      </c>
      <c r="G156" s="1035" t="s">
        <v>5087</v>
      </c>
      <c r="H156" s="939"/>
      <c r="I156" s="939" t="s">
        <v>2313</v>
      </c>
      <c r="J156" s="1752"/>
      <c r="K156" s="176"/>
      <c r="L156" s="5"/>
      <c r="M156" s="1199"/>
      <c r="N156" s="3" t="s">
        <v>2515</v>
      </c>
      <c r="O156" s="939" t="s">
        <v>165</v>
      </c>
      <c r="P156" s="937">
        <v>44694</v>
      </c>
      <c r="Q156" s="937">
        <v>44694</v>
      </c>
      <c r="R156" s="1034" t="s">
        <v>4223</v>
      </c>
      <c r="S156" s="943"/>
      <c r="T156" s="1564"/>
      <c r="U156" s="936"/>
    </row>
    <row r="157" spans="1:21" ht="40.5" customHeight="1">
      <c r="A157" s="936" t="s">
        <v>2479</v>
      </c>
      <c r="B157" s="937">
        <v>44694</v>
      </c>
      <c r="C157" s="936">
        <v>2</v>
      </c>
      <c r="D157" s="936">
        <f t="shared" si="10"/>
        <v>14</v>
      </c>
      <c r="E157" s="936"/>
      <c r="F157" s="936">
        <f t="shared" si="12"/>
        <v>9</v>
      </c>
      <c r="G157" s="1035" t="s">
        <v>5088</v>
      </c>
      <c r="H157" s="939"/>
      <c r="I157" s="939" t="s">
        <v>2313</v>
      </c>
      <c r="J157" s="1752"/>
      <c r="K157" s="176"/>
      <c r="L157" s="5"/>
      <c r="M157" s="1199" t="s">
        <v>2674</v>
      </c>
      <c r="N157" s="3" t="s">
        <v>2607</v>
      </c>
      <c r="O157" s="939" t="s">
        <v>165</v>
      </c>
      <c r="P157" s="937">
        <v>44694</v>
      </c>
      <c r="Q157" s="937">
        <v>44694</v>
      </c>
      <c r="R157" s="1034" t="s">
        <v>4223</v>
      </c>
      <c r="S157" s="943"/>
      <c r="T157" s="1564"/>
      <c r="U157" s="936"/>
    </row>
    <row r="158" spans="1:21" ht="40.5" customHeight="1">
      <c r="A158" s="936" t="s">
        <v>2479</v>
      </c>
      <c r="B158" s="937">
        <v>44694</v>
      </c>
      <c r="C158" s="936">
        <v>2</v>
      </c>
      <c r="D158" s="936">
        <f t="shared" si="10"/>
        <v>14</v>
      </c>
      <c r="E158" s="936"/>
      <c r="F158" s="936">
        <f t="shared" si="12"/>
        <v>10</v>
      </c>
      <c r="G158" s="1035" t="s">
        <v>5089</v>
      </c>
      <c r="H158" s="939"/>
      <c r="I158" s="939" t="s">
        <v>2313</v>
      </c>
      <c r="J158" s="1752"/>
      <c r="K158" s="176"/>
      <c r="L158" s="5"/>
      <c r="M158" s="1199" t="s">
        <v>4657</v>
      </c>
      <c r="N158" s="3" t="s">
        <v>2515</v>
      </c>
      <c r="O158" s="939" t="s">
        <v>165</v>
      </c>
      <c r="P158" s="937">
        <v>44694</v>
      </c>
      <c r="Q158" s="937">
        <v>44694</v>
      </c>
      <c r="R158" s="1034" t="s">
        <v>4223</v>
      </c>
      <c r="S158" s="943"/>
      <c r="T158" s="1564"/>
      <c r="U158" s="936"/>
    </row>
    <row r="159" spans="1:21" ht="72.75" customHeight="1">
      <c r="A159" s="936" t="s">
        <v>2479</v>
      </c>
      <c r="B159" s="937">
        <v>44694</v>
      </c>
      <c r="C159" s="936">
        <v>2</v>
      </c>
      <c r="D159" s="936">
        <f t="shared" si="10"/>
        <v>14</v>
      </c>
      <c r="E159" s="936"/>
      <c r="F159" s="936">
        <f t="shared" si="12"/>
        <v>11</v>
      </c>
      <c r="G159" s="1035" t="s">
        <v>5090</v>
      </c>
      <c r="H159" s="939"/>
      <c r="I159" s="939" t="s">
        <v>2313</v>
      </c>
      <c r="J159" s="1752"/>
      <c r="K159" s="176"/>
      <c r="L159" s="5"/>
      <c r="M159" s="1199" t="s">
        <v>5322</v>
      </c>
      <c r="N159" s="3" t="s">
        <v>1975</v>
      </c>
      <c r="O159" s="939" t="s">
        <v>165</v>
      </c>
      <c r="P159" s="937">
        <v>44694</v>
      </c>
      <c r="Q159" s="937">
        <v>44694</v>
      </c>
      <c r="R159" s="1034" t="s">
        <v>4223</v>
      </c>
      <c r="S159" s="943"/>
      <c r="T159" s="1564"/>
      <c r="U159" s="936"/>
    </row>
    <row r="160" spans="1:21" ht="40.5" customHeight="1">
      <c r="A160" s="936" t="s">
        <v>2479</v>
      </c>
      <c r="B160" s="937">
        <v>44694</v>
      </c>
      <c r="C160" s="936">
        <v>2</v>
      </c>
      <c r="D160" s="936">
        <f t="shared" si="10"/>
        <v>14</v>
      </c>
      <c r="E160" s="936"/>
      <c r="F160" s="936">
        <f t="shared" si="12"/>
        <v>12</v>
      </c>
      <c r="G160" s="1035" t="s">
        <v>5091</v>
      </c>
      <c r="H160" s="939"/>
      <c r="I160" s="939" t="s">
        <v>2313</v>
      </c>
      <c r="J160" s="1752"/>
      <c r="K160" s="176"/>
      <c r="L160" s="5"/>
      <c r="M160" s="1199" t="s">
        <v>5323</v>
      </c>
      <c r="N160" s="3" t="s">
        <v>2509</v>
      </c>
      <c r="O160" s="939" t="s">
        <v>165</v>
      </c>
      <c r="P160" s="937">
        <v>44694</v>
      </c>
      <c r="Q160" s="937">
        <v>44694</v>
      </c>
      <c r="R160" s="1034" t="s">
        <v>4223</v>
      </c>
      <c r="S160" s="943"/>
      <c r="T160" s="1564"/>
      <c r="U160" s="936"/>
    </row>
    <row r="161" spans="1:21" ht="40.5" customHeight="1">
      <c r="A161" s="936" t="s">
        <v>2479</v>
      </c>
      <c r="B161" s="937">
        <v>44694</v>
      </c>
      <c r="C161" s="936">
        <v>2</v>
      </c>
      <c r="D161" s="936">
        <f t="shared" si="10"/>
        <v>14</v>
      </c>
      <c r="E161" s="936"/>
      <c r="F161" s="936">
        <f t="shared" si="12"/>
        <v>13</v>
      </c>
      <c r="G161" s="1035" t="s">
        <v>5092</v>
      </c>
      <c r="H161" s="939"/>
      <c r="I161" s="939" t="s">
        <v>2313</v>
      </c>
      <c r="J161" s="1752"/>
      <c r="K161" s="176"/>
      <c r="L161" s="5"/>
      <c r="M161" s="1199" t="s">
        <v>5323</v>
      </c>
      <c r="N161" s="3" t="s">
        <v>2509</v>
      </c>
      <c r="O161" s="939" t="s">
        <v>165</v>
      </c>
      <c r="P161" s="937">
        <v>44694</v>
      </c>
      <c r="Q161" s="937">
        <v>44694</v>
      </c>
      <c r="R161" s="1034" t="s">
        <v>4223</v>
      </c>
      <c r="S161" s="943"/>
      <c r="T161" s="1564"/>
      <c r="U161" s="936"/>
    </row>
    <row r="162" spans="1:21" ht="40.5" customHeight="1">
      <c r="A162" s="936" t="s">
        <v>2479</v>
      </c>
      <c r="B162" s="937">
        <v>44694</v>
      </c>
      <c r="C162" s="936">
        <v>2</v>
      </c>
      <c r="D162" s="936">
        <f t="shared" ref="D162:D187" si="13">D161</f>
        <v>14</v>
      </c>
      <c r="E162" s="936"/>
      <c r="F162" s="936">
        <f t="shared" si="12"/>
        <v>14</v>
      </c>
      <c r="G162" s="1035" t="s">
        <v>5094</v>
      </c>
      <c r="H162" s="939"/>
      <c r="I162" s="939" t="s">
        <v>2313</v>
      </c>
      <c r="J162" s="1752"/>
      <c r="K162" s="176"/>
      <c r="L162" s="5"/>
      <c r="M162" s="1199" t="s">
        <v>5323</v>
      </c>
      <c r="N162" s="3" t="s">
        <v>2509</v>
      </c>
      <c r="O162" s="939" t="s">
        <v>165</v>
      </c>
      <c r="P162" s="937">
        <v>44694</v>
      </c>
      <c r="Q162" s="937">
        <v>44694</v>
      </c>
      <c r="R162" s="1034" t="s">
        <v>4223</v>
      </c>
      <c r="S162" s="943"/>
      <c r="T162" s="1564"/>
      <c r="U162" s="936"/>
    </row>
    <row r="163" spans="1:21" ht="40.5" customHeight="1">
      <c r="A163" s="936" t="s">
        <v>2479</v>
      </c>
      <c r="B163" s="937">
        <v>44694</v>
      </c>
      <c r="C163" s="936">
        <v>2</v>
      </c>
      <c r="D163" s="936">
        <f t="shared" si="13"/>
        <v>14</v>
      </c>
      <c r="E163" s="936"/>
      <c r="F163" s="936">
        <f t="shared" si="12"/>
        <v>15</v>
      </c>
      <c r="G163" s="1035" t="s">
        <v>5095</v>
      </c>
      <c r="H163" s="939"/>
      <c r="I163" s="939" t="s">
        <v>2313</v>
      </c>
      <c r="J163" s="1752"/>
      <c r="K163" s="176"/>
      <c r="L163" s="5"/>
      <c r="M163" s="1199" t="s">
        <v>4697</v>
      </c>
      <c r="N163" s="3" t="s">
        <v>2509</v>
      </c>
      <c r="O163" s="939" t="s">
        <v>165</v>
      </c>
      <c r="P163" s="937">
        <v>44694</v>
      </c>
      <c r="Q163" s="937">
        <v>44694</v>
      </c>
      <c r="R163" s="1034" t="s">
        <v>4223</v>
      </c>
      <c r="S163" s="943"/>
      <c r="T163" s="1564"/>
      <c r="U163" s="936"/>
    </row>
    <row r="164" spans="1:21" ht="40.5" customHeight="1">
      <c r="A164" s="936" t="s">
        <v>2479</v>
      </c>
      <c r="B164" s="937">
        <v>44694</v>
      </c>
      <c r="C164" s="936">
        <v>2</v>
      </c>
      <c r="D164" s="936">
        <f t="shared" si="13"/>
        <v>14</v>
      </c>
      <c r="E164" s="936"/>
      <c r="F164" s="936">
        <f t="shared" si="12"/>
        <v>16</v>
      </c>
      <c r="G164" s="1035" t="s">
        <v>5096</v>
      </c>
      <c r="H164" s="939"/>
      <c r="I164" s="939" t="s">
        <v>2313</v>
      </c>
      <c r="J164" s="1752"/>
      <c r="K164" s="176"/>
      <c r="L164" s="5"/>
      <c r="M164" s="1199" t="s">
        <v>4688</v>
      </c>
      <c r="N164" s="3" t="s">
        <v>2509</v>
      </c>
      <c r="O164" s="939" t="s">
        <v>165</v>
      </c>
      <c r="P164" s="937">
        <v>44694</v>
      </c>
      <c r="Q164" s="937">
        <v>44694</v>
      </c>
      <c r="R164" s="1034" t="s">
        <v>4223</v>
      </c>
      <c r="S164" s="943"/>
      <c r="T164" s="1564"/>
      <c r="U164" s="936"/>
    </row>
    <row r="165" spans="1:21" ht="40.5" customHeight="1">
      <c r="A165" s="936" t="s">
        <v>2479</v>
      </c>
      <c r="B165" s="937">
        <v>44694</v>
      </c>
      <c r="C165" s="936">
        <v>2</v>
      </c>
      <c r="D165" s="936">
        <f t="shared" si="13"/>
        <v>14</v>
      </c>
      <c r="E165" s="945" t="s">
        <v>5002</v>
      </c>
      <c r="F165" s="936">
        <f t="shared" si="12"/>
        <v>17</v>
      </c>
      <c r="G165" s="1035" t="s">
        <v>5097</v>
      </c>
      <c r="H165" s="939"/>
      <c r="I165" s="939" t="s">
        <v>550</v>
      </c>
      <c r="J165" s="1752" t="s">
        <v>5792</v>
      </c>
      <c r="K165" s="176">
        <v>44880</v>
      </c>
      <c r="L165" s="5">
        <v>44926</v>
      </c>
      <c r="M165" s="1199" t="s">
        <v>4749</v>
      </c>
      <c r="N165" s="3" t="s">
        <v>2666</v>
      </c>
      <c r="O165" s="939" t="s">
        <v>165</v>
      </c>
      <c r="P165" s="937">
        <v>44694</v>
      </c>
      <c r="Q165" s="937">
        <v>44694</v>
      </c>
      <c r="R165" s="1034" t="s">
        <v>4223</v>
      </c>
      <c r="S165" s="943"/>
      <c r="T165" s="1747"/>
      <c r="U165" s="936"/>
    </row>
    <row r="166" spans="1:21" ht="40.5" customHeight="1">
      <c r="A166" s="936" t="s">
        <v>2479</v>
      </c>
      <c r="B166" s="937">
        <v>44694</v>
      </c>
      <c r="C166" s="936">
        <v>2</v>
      </c>
      <c r="D166" s="936">
        <f t="shared" si="13"/>
        <v>14</v>
      </c>
      <c r="E166" s="945" t="s">
        <v>5350</v>
      </c>
      <c r="F166" s="936">
        <f t="shared" si="12"/>
        <v>18</v>
      </c>
      <c r="G166" s="1035" t="s">
        <v>5098</v>
      </c>
      <c r="H166" s="939"/>
      <c r="I166" s="939" t="s">
        <v>550</v>
      </c>
      <c r="J166" s="1752"/>
      <c r="K166" s="176"/>
      <c r="L166" s="5"/>
      <c r="M166" s="1199" t="s">
        <v>5324</v>
      </c>
      <c r="N166" s="3" t="s">
        <v>1975</v>
      </c>
      <c r="O166" s="939" t="s">
        <v>165</v>
      </c>
      <c r="P166" s="937">
        <v>44694</v>
      </c>
      <c r="Q166" s="937">
        <v>44694</v>
      </c>
      <c r="R166" s="1034" t="s">
        <v>4223</v>
      </c>
      <c r="S166" s="943"/>
      <c r="T166" s="1747"/>
      <c r="U166" s="936"/>
    </row>
    <row r="167" spans="1:21" ht="70.5" customHeight="1">
      <c r="A167" s="936" t="s">
        <v>2479</v>
      </c>
      <c r="B167" s="937">
        <v>44694</v>
      </c>
      <c r="C167" s="936">
        <v>2</v>
      </c>
      <c r="D167" s="936">
        <f t="shared" si="13"/>
        <v>14</v>
      </c>
      <c r="E167" s="936"/>
      <c r="F167" s="936">
        <f t="shared" si="12"/>
        <v>19</v>
      </c>
      <c r="G167" s="1035" t="s">
        <v>5099</v>
      </c>
      <c r="H167" s="939"/>
      <c r="I167" s="939" t="s">
        <v>2313</v>
      </c>
      <c r="J167" s="1752"/>
      <c r="K167" s="176"/>
      <c r="L167" s="5"/>
      <c r="M167" s="1199" t="s">
        <v>5324</v>
      </c>
      <c r="N167" s="3" t="s">
        <v>1975</v>
      </c>
      <c r="O167" s="939" t="s">
        <v>165</v>
      </c>
      <c r="P167" s="937">
        <v>44694</v>
      </c>
      <c r="Q167" s="937">
        <v>44694</v>
      </c>
      <c r="R167" s="1034" t="s">
        <v>4223</v>
      </c>
      <c r="S167" s="943"/>
      <c r="T167" s="1564"/>
      <c r="U167" s="936"/>
    </row>
    <row r="168" spans="1:21" ht="40.5" customHeight="1">
      <c r="A168" s="936" t="s">
        <v>2479</v>
      </c>
      <c r="B168" s="937">
        <v>44694</v>
      </c>
      <c r="C168" s="936">
        <v>2</v>
      </c>
      <c r="D168" s="936">
        <f t="shared" si="13"/>
        <v>14</v>
      </c>
      <c r="E168" s="945" t="s">
        <v>4310</v>
      </c>
      <c r="F168" s="936">
        <f t="shared" si="12"/>
        <v>20</v>
      </c>
      <c r="G168" s="1035" t="s">
        <v>5100</v>
      </c>
      <c r="H168" s="939"/>
      <c r="I168" s="939" t="s">
        <v>550</v>
      </c>
      <c r="J168" s="1752" t="s">
        <v>5792</v>
      </c>
      <c r="K168" s="176">
        <v>44697</v>
      </c>
      <c r="L168" s="5">
        <v>44728</v>
      </c>
      <c r="M168" s="1199" t="s">
        <v>67</v>
      </c>
      <c r="N168" s="3" t="s">
        <v>67</v>
      </c>
      <c r="O168" s="939" t="s">
        <v>165</v>
      </c>
      <c r="P168" s="937">
        <v>44694</v>
      </c>
      <c r="Q168" s="937">
        <v>44694</v>
      </c>
      <c r="R168" s="1034" t="s">
        <v>4223</v>
      </c>
      <c r="S168" s="943"/>
      <c r="T168" s="1747"/>
      <c r="U168" s="936"/>
    </row>
    <row r="169" spans="1:21" ht="147" customHeight="1">
      <c r="A169" s="936" t="s">
        <v>2479</v>
      </c>
      <c r="B169" s="937">
        <v>44854</v>
      </c>
      <c r="C169" s="936">
        <v>3</v>
      </c>
      <c r="D169" s="936">
        <f t="shared" si="13"/>
        <v>14</v>
      </c>
      <c r="E169" s="511" t="s">
        <v>5789</v>
      </c>
      <c r="F169" s="936">
        <v>1</v>
      </c>
      <c r="G169" s="1035" t="s">
        <v>5356</v>
      </c>
      <c r="H169" s="939"/>
      <c r="I169" s="939" t="s">
        <v>550</v>
      </c>
      <c r="J169" s="1752" t="s">
        <v>466</v>
      </c>
      <c r="K169" s="176"/>
      <c r="L169" s="5"/>
      <c r="M169" s="1199" t="s">
        <v>5328</v>
      </c>
      <c r="N169" s="3" t="s">
        <v>1975</v>
      </c>
      <c r="O169" s="939" t="s">
        <v>165</v>
      </c>
      <c r="P169" s="937">
        <v>44854</v>
      </c>
      <c r="Q169" s="937">
        <v>44854</v>
      </c>
      <c r="R169" s="1034" t="s">
        <v>4223</v>
      </c>
      <c r="S169" s="943"/>
      <c r="T169" s="1747" t="s">
        <v>5788</v>
      </c>
      <c r="U169" s="936"/>
    </row>
    <row r="170" spans="1:21" ht="40.5" customHeight="1">
      <c r="A170" s="936" t="s">
        <v>2479</v>
      </c>
      <c r="B170" s="937">
        <v>44694</v>
      </c>
      <c r="C170" s="936">
        <v>2</v>
      </c>
      <c r="D170" s="936">
        <f t="shared" si="13"/>
        <v>14</v>
      </c>
      <c r="E170" s="945"/>
      <c r="F170" s="936">
        <v>1</v>
      </c>
      <c r="G170" s="1035" t="s">
        <v>5103</v>
      </c>
      <c r="H170" s="939"/>
      <c r="I170" s="939"/>
      <c r="J170" s="1752"/>
      <c r="K170" s="176"/>
      <c r="L170" s="5"/>
      <c r="M170" s="1199" t="s">
        <v>3162</v>
      </c>
      <c r="N170" s="3" t="s">
        <v>1975</v>
      </c>
      <c r="O170" s="939" t="s">
        <v>5102</v>
      </c>
      <c r="P170" s="937">
        <v>44694</v>
      </c>
      <c r="Q170" s="937">
        <v>44694</v>
      </c>
      <c r="R170" s="1034" t="s">
        <v>4223</v>
      </c>
      <c r="S170" s="943"/>
      <c r="T170" s="1747"/>
      <c r="U170" s="936"/>
    </row>
    <row r="171" spans="1:21" ht="40.5" customHeight="1">
      <c r="A171" s="936" t="s">
        <v>2479</v>
      </c>
      <c r="B171" s="937">
        <v>44694</v>
      </c>
      <c r="C171" s="936">
        <v>2</v>
      </c>
      <c r="D171" s="936">
        <f t="shared" si="13"/>
        <v>14</v>
      </c>
      <c r="E171" s="936"/>
      <c r="F171" s="936">
        <f t="shared" ref="F171:F176" si="14">F170+1</f>
        <v>2</v>
      </c>
      <c r="G171" s="1035" t="s">
        <v>5104</v>
      </c>
      <c r="H171" s="939"/>
      <c r="I171" s="939" t="s">
        <v>2313</v>
      </c>
      <c r="J171" s="1752"/>
      <c r="K171" s="176"/>
      <c r="L171" s="5"/>
      <c r="M171" s="1199" t="s">
        <v>4809</v>
      </c>
      <c r="N171" s="3" t="s">
        <v>2527</v>
      </c>
      <c r="O171" s="939" t="s">
        <v>5102</v>
      </c>
      <c r="P171" s="937">
        <v>44694</v>
      </c>
      <c r="Q171" s="937">
        <v>44694</v>
      </c>
      <c r="R171" s="1034" t="s">
        <v>4223</v>
      </c>
      <c r="S171" s="943"/>
      <c r="T171" s="1564"/>
      <c r="U171" s="936"/>
    </row>
    <row r="172" spans="1:21" ht="40.5" customHeight="1">
      <c r="A172" s="936" t="s">
        <v>2479</v>
      </c>
      <c r="B172" s="937">
        <v>44854</v>
      </c>
      <c r="C172" s="936">
        <v>3</v>
      </c>
      <c r="D172" s="936">
        <f t="shared" si="13"/>
        <v>14</v>
      </c>
      <c r="E172" s="511" t="s">
        <v>4739</v>
      </c>
      <c r="F172" s="936">
        <f t="shared" si="14"/>
        <v>3</v>
      </c>
      <c r="G172" s="1035" t="s">
        <v>5362</v>
      </c>
      <c r="H172" s="939"/>
      <c r="I172" s="939" t="s">
        <v>550</v>
      </c>
      <c r="J172" s="1752"/>
      <c r="K172" s="176"/>
      <c r="L172" s="5"/>
      <c r="M172" s="1199" t="s">
        <v>4809</v>
      </c>
      <c r="N172" s="3" t="s">
        <v>1975</v>
      </c>
      <c r="O172" s="939" t="s">
        <v>165</v>
      </c>
      <c r="P172" s="937">
        <v>44854</v>
      </c>
      <c r="Q172" s="937">
        <v>44854</v>
      </c>
      <c r="R172" s="1034" t="s">
        <v>4223</v>
      </c>
      <c r="S172" s="943"/>
      <c r="T172" s="1747"/>
      <c r="U172" s="936"/>
    </row>
    <row r="173" spans="1:21" ht="40.5" customHeight="1">
      <c r="A173" s="936" t="s">
        <v>2479</v>
      </c>
      <c r="B173" s="937">
        <v>44694</v>
      </c>
      <c r="C173" s="936">
        <v>2</v>
      </c>
      <c r="D173" s="936">
        <f t="shared" si="13"/>
        <v>14</v>
      </c>
      <c r="E173" s="936"/>
      <c r="F173" s="936">
        <f t="shared" si="14"/>
        <v>4</v>
      </c>
      <c r="G173" s="1035" t="s">
        <v>5105</v>
      </c>
      <c r="H173" s="939"/>
      <c r="I173" s="939" t="s">
        <v>2313</v>
      </c>
      <c r="J173" s="1752"/>
      <c r="K173" s="176"/>
      <c r="L173" s="5"/>
      <c r="M173" s="1199" t="s">
        <v>5324</v>
      </c>
      <c r="N173" s="3" t="s">
        <v>1975</v>
      </c>
      <c r="O173" s="939" t="s">
        <v>5102</v>
      </c>
      <c r="P173" s="937">
        <v>44694</v>
      </c>
      <c r="Q173" s="937">
        <v>44694</v>
      </c>
      <c r="R173" s="1034" t="s">
        <v>4223</v>
      </c>
      <c r="S173" s="943"/>
      <c r="T173" s="1564"/>
      <c r="U173" s="936"/>
    </row>
    <row r="174" spans="1:21" ht="40.5" customHeight="1">
      <c r="A174" s="936" t="s">
        <v>2479</v>
      </c>
      <c r="B174" s="937">
        <v>44694</v>
      </c>
      <c r="C174" s="936">
        <v>2</v>
      </c>
      <c r="D174" s="936">
        <f t="shared" si="13"/>
        <v>14</v>
      </c>
      <c r="E174" s="936"/>
      <c r="F174" s="936">
        <f t="shared" si="14"/>
        <v>5</v>
      </c>
      <c r="G174" s="1035" t="s">
        <v>5106</v>
      </c>
      <c r="H174" s="939"/>
      <c r="I174" s="939" t="s">
        <v>2313</v>
      </c>
      <c r="J174" s="1752"/>
      <c r="K174" s="176"/>
      <c r="L174" s="5"/>
      <c r="M174" s="1199" t="s">
        <v>5325</v>
      </c>
      <c r="N174" s="3" t="s">
        <v>1975</v>
      </c>
      <c r="O174" s="939" t="s">
        <v>5102</v>
      </c>
      <c r="P174" s="937">
        <v>44694</v>
      </c>
      <c r="Q174" s="937">
        <v>44694</v>
      </c>
      <c r="R174" s="1034" t="s">
        <v>4223</v>
      </c>
      <c r="S174" s="943"/>
      <c r="T174" s="1564"/>
      <c r="U174" s="936"/>
    </row>
    <row r="175" spans="1:21" ht="40.5" customHeight="1">
      <c r="A175" s="936" t="s">
        <v>2479</v>
      </c>
      <c r="B175" s="937">
        <v>44694</v>
      </c>
      <c r="C175" s="936">
        <v>2</v>
      </c>
      <c r="D175" s="936">
        <f t="shared" si="13"/>
        <v>14</v>
      </c>
      <c r="E175" s="936"/>
      <c r="F175" s="936">
        <f t="shared" si="14"/>
        <v>6</v>
      </c>
      <c r="G175" s="1035" t="s">
        <v>5107</v>
      </c>
      <c r="H175" s="939"/>
      <c r="I175" s="939" t="s">
        <v>2313</v>
      </c>
      <c r="J175" s="1752"/>
      <c r="K175" s="176"/>
      <c r="L175" s="5"/>
      <c r="M175" s="1199" t="s">
        <v>4702</v>
      </c>
      <c r="N175" s="3" t="s">
        <v>2515</v>
      </c>
      <c r="O175" s="939" t="s">
        <v>5102</v>
      </c>
      <c r="P175" s="937">
        <v>44694</v>
      </c>
      <c r="Q175" s="937">
        <v>44694</v>
      </c>
      <c r="R175" s="1034" t="s">
        <v>4223</v>
      </c>
      <c r="S175" s="943"/>
      <c r="T175" s="1564"/>
      <c r="U175" s="936"/>
    </row>
    <row r="176" spans="1:21" ht="40.5" customHeight="1">
      <c r="A176" s="936" t="s">
        <v>2479</v>
      </c>
      <c r="B176" s="937">
        <v>44694</v>
      </c>
      <c r="C176" s="936">
        <v>2</v>
      </c>
      <c r="D176" s="936">
        <f t="shared" si="13"/>
        <v>14</v>
      </c>
      <c r="E176" s="511"/>
      <c r="F176" s="936">
        <f t="shared" si="14"/>
        <v>7</v>
      </c>
      <c r="G176" s="1035" t="s">
        <v>5104</v>
      </c>
      <c r="H176" s="939"/>
      <c r="I176" s="939"/>
      <c r="J176" s="1752"/>
      <c r="K176" s="176"/>
      <c r="L176" s="5"/>
      <c r="M176" s="1199" t="s">
        <v>4809</v>
      </c>
      <c r="N176" s="3" t="s">
        <v>1975</v>
      </c>
      <c r="O176" s="939" t="s">
        <v>5102</v>
      </c>
      <c r="P176" s="937">
        <v>44694</v>
      </c>
      <c r="Q176" s="937">
        <v>44694</v>
      </c>
      <c r="R176" s="1034" t="s">
        <v>4223</v>
      </c>
      <c r="S176" s="943"/>
      <c r="T176" s="1747"/>
      <c r="U176" s="936"/>
    </row>
    <row r="177" spans="1:21" ht="123.75" customHeight="1">
      <c r="A177" s="936" t="s">
        <v>2479</v>
      </c>
      <c r="B177" s="937">
        <v>44694</v>
      </c>
      <c r="C177" s="936">
        <v>2</v>
      </c>
      <c r="D177" s="936">
        <f t="shared" si="13"/>
        <v>14</v>
      </c>
      <c r="E177" s="936"/>
      <c r="F177" s="936">
        <v>1</v>
      </c>
      <c r="G177" s="1035" t="s">
        <v>5110</v>
      </c>
      <c r="H177" s="939"/>
      <c r="I177" s="939" t="s">
        <v>2313</v>
      </c>
      <c r="J177" s="1752"/>
      <c r="K177" s="176"/>
      <c r="L177" s="5"/>
      <c r="M177" s="1199" t="s">
        <v>4796</v>
      </c>
      <c r="N177" s="3" t="s">
        <v>5109</v>
      </c>
      <c r="O177" s="939" t="s">
        <v>866</v>
      </c>
      <c r="P177" s="937">
        <v>44694</v>
      </c>
      <c r="Q177" s="937">
        <v>44694</v>
      </c>
      <c r="R177" s="1034" t="s">
        <v>4223</v>
      </c>
      <c r="S177" s="943"/>
      <c r="T177" s="1564"/>
      <c r="U177" s="936"/>
    </row>
    <row r="178" spans="1:21" ht="122.25" customHeight="1">
      <c r="A178" s="936" t="s">
        <v>2479</v>
      </c>
      <c r="B178" s="937">
        <v>44694</v>
      </c>
      <c r="C178" s="936">
        <v>2</v>
      </c>
      <c r="D178" s="936">
        <f t="shared" si="13"/>
        <v>14</v>
      </c>
      <c r="E178" s="936"/>
      <c r="F178" s="936">
        <f>F177+1</f>
        <v>2</v>
      </c>
      <c r="G178" s="1035" t="s">
        <v>5111</v>
      </c>
      <c r="H178" s="939"/>
      <c r="I178" s="939" t="s">
        <v>2313</v>
      </c>
      <c r="J178" s="1752"/>
      <c r="K178" s="176"/>
      <c r="L178" s="5"/>
      <c r="M178" s="1199" t="s">
        <v>3144</v>
      </c>
      <c r="N178" s="3" t="s">
        <v>5109</v>
      </c>
      <c r="O178" s="939" t="s">
        <v>866</v>
      </c>
      <c r="P178" s="937">
        <v>44694</v>
      </c>
      <c r="Q178" s="937">
        <v>44694</v>
      </c>
      <c r="R178" s="1034" t="s">
        <v>4223</v>
      </c>
      <c r="S178" s="943"/>
      <c r="T178" s="1564"/>
      <c r="U178" s="936"/>
    </row>
    <row r="179" spans="1:21" ht="61.5" customHeight="1">
      <c r="A179" s="936" t="s">
        <v>2479</v>
      </c>
      <c r="B179" s="937">
        <v>44694</v>
      </c>
      <c r="C179" s="936">
        <v>2</v>
      </c>
      <c r="D179" s="936">
        <f t="shared" si="13"/>
        <v>14</v>
      </c>
      <c r="E179" s="511" t="s">
        <v>5408</v>
      </c>
      <c r="F179" s="936">
        <f>F178+1</f>
        <v>3</v>
      </c>
      <c r="G179" s="1035" t="s">
        <v>5112</v>
      </c>
      <c r="H179" s="939"/>
      <c r="I179" s="939" t="s">
        <v>550</v>
      </c>
      <c r="J179" s="1752" t="s">
        <v>5790</v>
      </c>
      <c r="K179" s="176">
        <v>44987</v>
      </c>
      <c r="L179" s="5">
        <v>45048</v>
      </c>
      <c r="M179" s="1199" t="s">
        <v>5327</v>
      </c>
      <c r="N179" s="3" t="s">
        <v>5109</v>
      </c>
      <c r="O179" s="939" t="s">
        <v>866</v>
      </c>
      <c r="P179" s="937">
        <v>44694</v>
      </c>
      <c r="Q179" s="937">
        <v>44694</v>
      </c>
      <c r="R179" s="1034" t="s">
        <v>4223</v>
      </c>
      <c r="S179" s="943"/>
      <c r="T179" s="1747" t="s">
        <v>5775</v>
      </c>
      <c r="U179" s="936"/>
    </row>
    <row r="180" spans="1:21" ht="40.5" customHeight="1">
      <c r="A180" s="936" t="s">
        <v>2479</v>
      </c>
      <c r="B180" s="937">
        <v>44694</v>
      </c>
      <c r="C180" s="936">
        <v>2</v>
      </c>
      <c r="D180" s="936">
        <f t="shared" si="13"/>
        <v>14</v>
      </c>
      <c r="E180" s="945" t="s">
        <v>3110</v>
      </c>
      <c r="F180" s="936">
        <v>1</v>
      </c>
      <c r="G180" s="1035" t="s">
        <v>5113</v>
      </c>
      <c r="H180" s="939"/>
      <c r="I180" s="939" t="s">
        <v>550</v>
      </c>
      <c r="J180" s="1752"/>
      <c r="K180" s="176"/>
      <c r="L180" s="5"/>
      <c r="M180" s="1199" t="s">
        <v>5328</v>
      </c>
      <c r="N180" s="3" t="s">
        <v>1975</v>
      </c>
      <c r="O180" s="939" t="s">
        <v>3110</v>
      </c>
      <c r="P180" s="937">
        <v>44694</v>
      </c>
      <c r="Q180" s="937">
        <v>44694</v>
      </c>
      <c r="R180" s="1034" t="s">
        <v>4223</v>
      </c>
      <c r="S180" s="943"/>
      <c r="T180" s="1747"/>
      <c r="U180" s="936"/>
    </row>
    <row r="181" spans="1:21" ht="40.5" customHeight="1">
      <c r="A181" s="936" t="s">
        <v>2479</v>
      </c>
      <c r="B181" s="937">
        <v>44694</v>
      </c>
      <c r="C181" s="936">
        <v>2</v>
      </c>
      <c r="D181" s="936">
        <f t="shared" si="13"/>
        <v>14</v>
      </c>
      <c r="E181" s="945" t="s">
        <v>3110</v>
      </c>
      <c r="F181" s="936">
        <f>F180+1</f>
        <v>2</v>
      </c>
      <c r="G181" s="1035" t="s">
        <v>5114</v>
      </c>
      <c r="H181" s="939"/>
      <c r="I181" s="939" t="s">
        <v>550</v>
      </c>
      <c r="J181" s="1752"/>
      <c r="K181" s="176"/>
      <c r="L181" s="5"/>
      <c r="M181" s="1199"/>
      <c r="N181" s="3" t="s">
        <v>2580</v>
      </c>
      <c r="O181" s="939" t="s">
        <v>3110</v>
      </c>
      <c r="P181" s="937">
        <v>44694</v>
      </c>
      <c r="Q181" s="937">
        <v>44694</v>
      </c>
      <c r="R181" s="1034" t="s">
        <v>4223</v>
      </c>
      <c r="S181" s="943"/>
      <c r="T181" s="1747"/>
      <c r="U181" s="936"/>
    </row>
    <row r="182" spans="1:21" ht="40.5" customHeight="1">
      <c r="A182" s="936" t="s">
        <v>2479</v>
      </c>
      <c r="B182" s="937">
        <v>44694</v>
      </c>
      <c r="C182" s="936">
        <v>2</v>
      </c>
      <c r="D182" s="936">
        <f t="shared" si="13"/>
        <v>14</v>
      </c>
      <c r="E182" s="945" t="s">
        <v>3110</v>
      </c>
      <c r="F182" s="936">
        <f>F181+1</f>
        <v>3</v>
      </c>
      <c r="G182" s="1035" t="s">
        <v>5115</v>
      </c>
      <c r="H182" s="939"/>
      <c r="I182" s="939" t="s">
        <v>550</v>
      </c>
      <c r="J182" s="1752"/>
      <c r="K182" s="176"/>
      <c r="L182" s="5"/>
      <c r="M182" s="1199" t="s">
        <v>3144</v>
      </c>
      <c r="N182" s="3" t="s">
        <v>1975</v>
      </c>
      <c r="O182" s="939" t="s">
        <v>3110</v>
      </c>
      <c r="P182" s="937">
        <v>44694</v>
      </c>
      <c r="Q182" s="937">
        <v>44694</v>
      </c>
      <c r="R182" s="1034" t="s">
        <v>4223</v>
      </c>
      <c r="S182" s="943"/>
      <c r="T182" s="1747"/>
      <c r="U182" s="936"/>
    </row>
    <row r="183" spans="1:21" ht="40.5" customHeight="1">
      <c r="A183" s="936" t="s">
        <v>2479</v>
      </c>
      <c r="B183" s="937">
        <v>44694</v>
      </c>
      <c r="C183" s="936">
        <v>2</v>
      </c>
      <c r="D183" s="936">
        <f t="shared" si="13"/>
        <v>14</v>
      </c>
      <c r="E183" s="936"/>
      <c r="F183" s="936">
        <f>F182+1</f>
        <v>4</v>
      </c>
      <c r="G183" s="1035" t="s">
        <v>5116</v>
      </c>
      <c r="H183" s="939"/>
      <c r="I183" s="939" t="s">
        <v>2313</v>
      </c>
      <c r="J183" s="1752"/>
      <c r="K183" s="176"/>
      <c r="L183" s="5"/>
      <c r="M183" s="1199"/>
      <c r="N183" s="3" t="s">
        <v>1975</v>
      </c>
      <c r="O183" s="939" t="s">
        <v>3110</v>
      </c>
      <c r="P183" s="937">
        <v>44694</v>
      </c>
      <c r="Q183" s="937">
        <v>44694</v>
      </c>
      <c r="R183" s="1034" t="s">
        <v>4223</v>
      </c>
      <c r="S183" s="943"/>
      <c r="T183" s="1564"/>
      <c r="U183" s="936"/>
    </row>
    <row r="184" spans="1:21" ht="40.5" customHeight="1">
      <c r="A184" s="936" t="s">
        <v>2479</v>
      </c>
      <c r="B184" s="937">
        <v>44694</v>
      </c>
      <c r="C184" s="936">
        <v>2</v>
      </c>
      <c r="D184" s="936">
        <f t="shared" si="13"/>
        <v>14</v>
      </c>
      <c r="E184" s="936"/>
      <c r="F184" s="936">
        <f>F183+1</f>
        <v>5</v>
      </c>
      <c r="G184" s="1035" t="s">
        <v>5117</v>
      </c>
      <c r="H184" s="939"/>
      <c r="I184" s="939" t="s">
        <v>2313</v>
      </c>
      <c r="J184" s="1752"/>
      <c r="K184" s="176"/>
      <c r="L184" s="5"/>
      <c r="M184" s="1199"/>
      <c r="N184" s="3" t="s">
        <v>2580</v>
      </c>
      <c r="O184" s="939" t="s">
        <v>3110</v>
      </c>
      <c r="P184" s="937">
        <v>44694</v>
      </c>
      <c r="Q184" s="937">
        <v>44694</v>
      </c>
      <c r="R184" s="1034" t="s">
        <v>4223</v>
      </c>
      <c r="S184" s="943"/>
      <c r="T184" s="1564"/>
      <c r="U184" s="936"/>
    </row>
    <row r="185" spans="1:21" ht="40.5" customHeight="1">
      <c r="A185" s="936" t="s">
        <v>2479</v>
      </c>
      <c r="B185" s="937">
        <v>44694</v>
      </c>
      <c r="C185" s="936">
        <v>2</v>
      </c>
      <c r="D185" s="936">
        <f t="shared" si="13"/>
        <v>14</v>
      </c>
      <c r="E185" s="936"/>
      <c r="F185" s="936">
        <f>F184+1</f>
        <v>6</v>
      </c>
      <c r="G185" s="1035" t="s">
        <v>5118</v>
      </c>
      <c r="H185" s="939"/>
      <c r="I185" s="939" t="s">
        <v>2313</v>
      </c>
      <c r="J185" s="1752"/>
      <c r="K185" s="176"/>
      <c r="L185" s="5"/>
      <c r="M185" s="1199"/>
      <c r="N185" s="3" t="s">
        <v>2580</v>
      </c>
      <c r="O185" s="939" t="s">
        <v>3110</v>
      </c>
      <c r="P185" s="937">
        <v>44694</v>
      </c>
      <c r="Q185" s="937">
        <v>44694</v>
      </c>
      <c r="R185" s="1034" t="s">
        <v>4223</v>
      </c>
      <c r="S185" s="943"/>
      <c r="T185" s="1564"/>
      <c r="U185" s="936"/>
    </row>
    <row r="186" spans="1:21" ht="40.5" customHeight="1">
      <c r="A186" s="936" t="s">
        <v>2479</v>
      </c>
      <c r="B186" s="937">
        <v>44694</v>
      </c>
      <c r="C186" s="936">
        <v>2</v>
      </c>
      <c r="D186" s="936">
        <f t="shared" si="13"/>
        <v>14</v>
      </c>
      <c r="E186" s="936"/>
      <c r="F186" s="936">
        <v>1</v>
      </c>
      <c r="G186" s="1035" t="s">
        <v>5119</v>
      </c>
      <c r="H186" s="939"/>
      <c r="I186" s="939" t="s">
        <v>2313</v>
      </c>
      <c r="J186" s="1752"/>
      <c r="K186" s="176"/>
      <c r="L186" s="5"/>
      <c r="M186" s="1199"/>
      <c r="N186" s="3" t="s">
        <v>1975</v>
      </c>
      <c r="O186" s="939" t="s">
        <v>5046</v>
      </c>
      <c r="P186" s="937">
        <v>44694</v>
      </c>
      <c r="Q186" s="937">
        <v>44694</v>
      </c>
      <c r="R186" s="1034" t="s">
        <v>4223</v>
      </c>
      <c r="S186" s="943"/>
      <c r="T186" s="1564"/>
      <c r="U186" s="936"/>
    </row>
    <row r="187" spans="1:21" ht="40.5" customHeight="1">
      <c r="A187" s="936" t="s">
        <v>2479</v>
      </c>
      <c r="B187" s="937">
        <v>44694</v>
      </c>
      <c r="C187" s="936">
        <v>2</v>
      </c>
      <c r="D187" s="936">
        <f t="shared" si="13"/>
        <v>14</v>
      </c>
      <c r="E187" s="936"/>
      <c r="F187" s="936">
        <f>F186+1</f>
        <v>2</v>
      </c>
      <c r="G187" s="1035" t="s">
        <v>5120</v>
      </c>
      <c r="H187" s="939"/>
      <c r="I187" s="939" t="s">
        <v>2313</v>
      </c>
      <c r="J187" s="1752"/>
      <c r="K187" s="176"/>
      <c r="L187" s="5"/>
      <c r="M187" s="1199"/>
      <c r="N187" s="3" t="s">
        <v>1975</v>
      </c>
      <c r="O187" s="939" t="s">
        <v>5046</v>
      </c>
      <c r="P187" s="937">
        <v>44694</v>
      </c>
      <c r="Q187" s="937">
        <v>44694</v>
      </c>
      <c r="R187" s="1034" t="s">
        <v>4223</v>
      </c>
      <c r="S187" s="943"/>
      <c r="T187" s="1564"/>
      <c r="U187" s="936"/>
    </row>
    <row r="188" spans="1:21" ht="52.5" customHeight="1">
      <c r="A188" s="936" t="s">
        <v>2479</v>
      </c>
      <c r="B188" s="937">
        <v>44694</v>
      </c>
      <c r="C188" s="936">
        <v>2</v>
      </c>
      <c r="D188" s="936">
        <v>15</v>
      </c>
      <c r="E188" s="945" t="s">
        <v>351</v>
      </c>
      <c r="F188" s="936">
        <v>1</v>
      </c>
      <c r="G188" s="1035" t="s">
        <v>5121</v>
      </c>
      <c r="H188" s="939"/>
      <c r="I188" s="939" t="s">
        <v>550</v>
      </c>
      <c r="J188" s="1752"/>
      <c r="K188" s="176"/>
      <c r="L188" s="5"/>
      <c r="M188" s="1199"/>
      <c r="N188" s="3" t="s">
        <v>1975</v>
      </c>
      <c r="O188" s="939" t="s">
        <v>5047</v>
      </c>
      <c r="P188" s="937">
        <v>44694</v>
      </c>
      <c r="Q188" s="937">
        <v>44694</v>
      </c>
      <c r="R188" s="1034" t="s">
        <v>4223</v>
      </c>
      <c r="S188" s="943"/>
      <c r="T188" s="1747"/>
      <c r="U188" s="936"/>
    </row>
    <row r="189" spans="1:21" ht="40.5" customHeight="1">
      <c r="A189" s="936" t="s">
        <v>2479</v>
      </c>
      <c r="B189" s="937">
        <v>44694</v>
      </c>
      <c r="C189" s="936">
        <v>2</v>
      </c>
      <c r="D189" s="936">
        <f t="shared" ref="D189:D218" si="15">D188</f>
        <v>15</v>
      </c>
      <c r="E189" s="936"/>
      <c r="F189" s="936">
        <f>F188+1</f>
        <v>2</v>
      </c>
      <c r="G189" s="1035" t="s">
        <v>5122</v>
      </c>
      <c r="H189" s="939"/>
      <c r="I189" s="939" t="s">
        <v>2313</v>
      </c>
      <c r="J189" s="1752"/>
      <c r="K189" s="176"/>
      <c r="L189" s="5"/>
      <c r="M189" s="1199" t="s">
        <v>3422</v>
      </c>
      <c r="N189" s="3" t="s">
        <v>2607</v>
      </c>
      <c r="O189" s="939" t="s">
        <v>5047</v>
      </c>
      <c r="P189" s="937">
        <v>44694</v>
      </c>
      <c r="Q189" s="937">
        <v>44694</v>
      </c>
      <c r="R189" s="1034" t="s">
        <v>4223</v>
      </c>
      <c r="S189" s="943"/>
      <c r="T189" s="1564"/>
      <c r="U189" s="936"/>
    </row>
    <row r="190" spans="1:21" ht="40.5" customHeight="1">
      <c r="A190" s="936" t="s">
        <v>2479</v>
      </c>
      <c r="B190" s="937">
        <v>44694</v>
      </c>
      <c r="C190" s="936">
        <v>2</v>
      </c>
      <c r="D190" s="936">
        <f t="shared" si="15"/>
        <v>15</v>
      </c>
      <c r="E190" s="936"/>
      <c r="F190" s="936">
        <v>1</v>
      </c>
      <c r="G190" s="1035" t="s">
        <v>5123</v>
      </c>
      <c r="H190" s="939"/>
      <c r="I190" s="939" t="s">
        <v>2313</v>
      </c>
      <c r="J190" s="1752"/>
      <c r="K190" s="176"/>
      <c r="L190" s="5"/>
      <c r="M190" s="1199"/>
      <c r="N190" s="3" t="s">
        <v>1975</v>
      </c>
      <c r="O190" s="939" t="s">
        <v>5048</v>
      </c>
      <c r="P190" s="937">
        <v>44694</v>
      </c>
      <c r="Q190" s="937">
        <v>44694</v>
      </c>
      <c r="R190" s="1034" t="s">
        <v>4223</v>
      </c>
      <c r="S190" s="943"/>
      <c r="T190" s="1564"/>
      <c r="U190" s="936"/>
    </row>
    <row r="191" spans="1:21" ht="40.5" customHeight="1">
      <c r="A191" s="936" t="s">
        <v>2479</v>
      </c>
      <c r="B191" s="937">
        <v>44694</v>
      </c>
      <c r="C191" s="936">
        <v>2</v>
      </c>
      <c r="D191" s="936">
        <f t="shared" si="15"/>
        <v>15</v>
      </c>
      <c r="E191" s="936"/>
      <c r="F191" s="936">
        <f>F190+1</f>
        <v>2</v>
      </c>
      <c r="G191" s="1035" t="s">
        <v>5124</v>
      </c>
      <c r="H191" s="939"/>
      <c r="I191" s="939" t="s">
        <v>2313</v>
      </c>
      <c r="J191" s="1752"/>
      <c r="K191" s="176"/>
      <c r="L191" s="5"/>
      <c r="M191" s="1199"/>
      <c r="N191" s="3" t="s">
        <v>1975</v>
      </c>
      <c r="O191" s="939" t="s">
        <v>5048</v>
      </c>
      <c r="P191" s="937">
        <v>44694</v>
      </c>
      <c r="Q191" s="937">
        <v>44694</v>
      </c>
      <c r="R191" s="1034" t="s">
        <v>4223</v>
      </c>
      <c r="S191" s="943"/>
      <c r="T191" s="1564"/>
      <c r="U191" s="936"/>
    </row>
    <row r="192" spans="1:21" ht="40.5" customHeight="1">
      <c r="A192" s="936" t="s">
        <v>2479</v>
      </c>
      <c r="B192" s="937">
        <v>44694</v>
      </c>
      <c r="C192" s="936">
        <v>2</v>
      </c>
      <c r="D192" s="936">
        <f t="shared" si="15"/>
        <v>15</v>
      </c>
      <c r="E192" s="936"/>
      <c r="F192" s="936">
        <f>F191+1</f>
        <v>3</v>
      </c>
      <c r="G192" s="1035" t="s">
        <v>5125</v>
      </c>
      <c r="H192" s="939"/>
      <c r="I192" s="939" t="s">
        <v>2313</v>
      </c>
      <c r="J192" s="1752"/>
      <c r="K192" s="176"/>
      <c r="L192" s="5"/>
      <c r="M192" s="1199"/>
      <c r="N192" s="3" t="s">
        <v>1975</v>
      </c>
      <c r="O192" s="939" t="s">
        <v>5048</v>
      </c>
      <c r="P192" s="937">
        <v>44694</v>
      </c>
      <c r="Q192" s="937">
        <v>44694</v>
      </c>
      <c r="R192" s="1034" t="s">
        <v>4223</v>
      </c>
      <c r="S192" s="943"/>
      <c r="T192" s="1564"/>
      <c r="U192" s="936"/>
    </row>
    <row r="193" spans="1:21" ht="40.5" customHeight="1">
      <c r="A193" s="936" t="s">
        <v>2479</v>
      </c>
      <c r="B193" s="937">
        <v>44694</v>
      </c>
      <c r="C193" s="936">
        <v>2</v>
      </c>
      <c r="D193" s="936">
        <f t="shared" si="15"/>
        <v>15</v>
      </c>
      <c r="E193" s="936"/>
      <c r="F193" s="936">
        <v>1</v>
      </c>
      <c r="G193" s="1035" t="s">
        <v>5126</v>
      </c>
      <c r="H193" s="939"/>
      <c r="I193" s="939" t="s">
        <v>2313</v>
      </c>
      <c r="J193" s="1752"/>
      <c r="K193" s="176"/>
      <c r="L193" s="5"/>
      <c r="M193" s="1199" t="s">
        <v>5329</v>
      </c>
      <c r="N193" s="3" t="s">
        <v>1975</v>
      </c>
      <c r="O193" s="939" t="s">
        <v>5049</v>
      </c>
      <c r="P193" s="937">
        <v>44694</v>
      </c>
      <c r="Q193" s="937">
        <v>44694</v>
      </c>
      <c r="R193" s="1034" t="s">
        <v>4223</v>
      </c>
      <c r="S193" s="943"/>
      <c r="T193" s="1564"/>
      <c r="U193" s="936"/>
    </row>
    <row r="194" spans="1:21" ht="40.5" customHeight="1">
      <c r="A194" s="936" t="s">
        <v>2479</v>
      </c>
      <c r="B194" s="937">
        <v>44694</v>
      </c>
      <c r="C194" s="936">
        <v>2</v>
      </c>
      <c r="D194" s="936">
        <f t="shared" si="15"/>
        <v>15</v>
      </c>
      <c r="E194" s="936"/>
      <c r="F194" s="936">
        <f>F193+1</f>
        <v>2</v>
      </c>
      <c r="G194" s="1035" t="s">
        <v>5127</v>
      </c>
      <c r="H194" s="939"/>
      <c r="I194" s="939" t="s">
        <v>2313</v>
      </c>
      <c r="J194" s="1752"/>
      <c r="K194" s="176"/>
      <c r="L194" s="5"/>
      <c r="M194" s="1199" t="s">
        <v>2503</v>
      </c>
      <c r="N194" s="3" t="s">
        <v>1975</v>
      </c>
      <c r="O194" s="939" t="s">
        <v>5049</v>
      </c>
      <c r="P194" s="937">
        <v>44694</v>
      </c>
      <c r="Q194" s="937">
        <v>44694</v>
      </c>
      <c r="R194" s="1034" t="s">
        <v>4223</v>
      </c>
      <c r="S194" s="943"/>
      <c r="T194" s="1564"/>
      <c r="U194" s="936"/>
    </row>
    <row r="195" spans="1:21" ht="53.25" customHeight="1">
      <c r="A195" s="936" t="s">
        <v>2479</v>
      </c>
      <c r="B195" s="937">
        <v>44694</v>
      </c>
      <c r="C195" s="936">
        <v>2</v>
      </c>
      <c r="D195" s="936">
        <f t="shared" si="15"/>
        <v>15</v>
      </c>
      <c r="E195" s="511" t="s">
        <v>4739</v>
      </c>
      <c r="F195" s="936">
        <f>F194+1</f>
        <v>3</v>
      </c>
      <c r="G195" s="1035" t="s">
        <v>5080</v>
      </c>
      <c r="H195" s="939"/>
      <c r="I195" s="939" t="s">
        <v>550</v>
      </c>
      <c r="J195" s="1752"/>
      <c r="K195" s="176"/>
      <c r="L195" s="5"/>
      <c r="M195" s="1199" t="s">
        <v>5321</v>
      </c>
      <c r="N195" s="3" t="s">
        <v>1975</v>
      </c>
      <c r="O195" s="939" t="s">
        <v>165</v>
      </c>
      <c r="P195" s="937">
        <v>44694</v>
      </c>
      <c r="Q195" s="937">
        <v>44694</v>
      </c>
      <c r="R195" s="1034" t="s">
        <v>4223</v>
      </c>
      <c r="S195" s="943"/>
      <c r="T195" s="1747"/>
      <c r="U195" s="936"/>
    </row>
    <row r="196" spans="1:21" ht="60" customHeight="1">
      <c r="A196" s="936" t="s">
        <v>2479</v>
      </c>
      <c r="B196" s="937">
        <v>44694</v>
      </c>
      <c r="C196" s="936">
        <v>2</v>
      </c>
      <c r="D196" s="936">
        <f t="shared" si="15"/>
        <v>15</v>
      </c>
      <c r="E196" s="936"/>
      <c r="F196" s="936">
        <v>1</v>
      </c>
      <c r="G196" s="1035" t="s">
        <v>5129</v>
      </c>
      <c r="H196" s="939"/>
      <c r="I196" s="939" t="s">
        <v>2313</v>
      </c>
      <c r="J196" s="1752"/>
      <c r="K196" s="176"/>
      <c r="L196" s="5"/>
      <c r="M196" s="1199" t="s">
        <v>2650</v>
      </c>
      <c r="N196" s="3" t="s">
        <v>1975</v>
      </c>
      <c r="O196" s="939" t="s">
        <v>76</v>
      </c>
      <c r="P196" s="937">
        <v>44694</v>
      </c>
      <c r="Q196" s="937">
        <v>44694</v>
      </c>
      <c r="R196" s="1034" t="s">
        <v>4223</v>
      </c>
      <c r="S196" s="943"/>
      <c r="T196" s="1564"/>
      <c r="U196" s="936"/>
    </row>
    <row r="197" spans="1:21" ht="40.5" customHeight="1">
      <c r="A197" s="936" t="s">
        <v>2479</v>
      </c>
      <c r="B197" s="937">
        <v>44694</v>
      </c>
      <c r="C197" s="936">
        <v>2</v>
      </c>
      <c r="D197" s="936">
        <f t="shared" si="15"/>
        <v>15</v>
      </c>
      <c r="E197" s="936"/>
      <c r="F197" s="936">
        <f t="shared" ref="F197:F228" si="16">F196+1</f>
        <v>2</v>
      </c>
      <c r="G197" s="1035" t="s">
        <v>5130</v>
      </c>
      <c r="H197" s="939"/>
      <c r="I197" s="939" t="s">
        <v>2313</v>
      </c>
      <c r="J197" s="1752"/>
      <c r="K197" s="176"/>
      <c r="L197" s="5"/>
      <c r="M197" s="1199" t="s">
        <v>2663</v>
      </c>
      <c r="N197" s="3" t="s">
        <v>1975</v>
      </c>
      <c r="O197" s="939" t="s">
        <v>76</v>
      </c>
      <c r="P197" s="937">
        <v>44694</v>
      </c>
      <c r="Q197" s="937">
        <v>44694</v>
      </c>
      <c r="R197" s="1034" t="s">
        <v>4223</v>
      </c>
      <c r="S197" s="943"/>
      <c r="T197" s="1564"/>
      <c r="U197" s="936"/>
    </row>
    <row r="198" spans="1:21" ht="40.5" customHeight="1">
      <c r="A198" s="936" t="s">
        <v>2479</v>
      </c>
      <c r="B198" s="937">
        <v>44694</v>
      </c>
      <c r="C198" s="936">
        <v>2</v>
      </c>
      <c r="D198" s="936">
        <f t="shared" si="15"/>
        <v>15</v>
      </c>
      <c r="E198" s="936"/>
      <c r="F198" s="936">
        <f t="shared" si="16"/>
        <v>3</v>
      </c>
      <c r="G198" s="1035" t="s">
        <v>5131</v>
      </c>
      <c r="H198" s="939"/>
      <c r="I198" s="939" t="s">
        <v>2313</v>
      </c>
      <c r="J198" s="1752"/>
      <c r="K198" s="176"/>
      <c r="L198" s="5"/>
      <c r="M198" s="1199" t="s">
        <v>2663</v>
      </c>
      <c r="N198" s="3" t="s">
        <v>1975</v>
      </c>
      <c r="O198" s="939" t="s">
        <v>76</v>
      </c>
      <c r="P198" s="937">
        <v>44694</v>
      </c>
      <c r="Q198" s="937">
        <v>44694</v>
      </c>
      <c r="R198" s="1034" t="s">
        <v>4223</v>
      </c>
      <c r="S198" s="943"/>
      <c r="T198" s="1564"/>
      <c r="U198" s="936"/>
    </row>
    <row r="199" spans="1:21" ht="40.5" customHeight="1">
      <c r="A199" s="936" t="s">
        <v>2479</v>
      </c>
      <c r="B199" s="937">
        <v>44694</v>
      </c>
      <c r="C199" s="936">
        <v>2</v>
      </c>
      <c r="D199" s="936">
        <f t="shared" si="15"/>
        <v>15</v>
      </c>
      <c r="E199" s="936"/>
      <c r="F199" s="936">
        <f t="shared" si="16"/>
        <v>4</v>
      </c>
      <c r="G199" s="1035" t="s">
        <v>5132</v>
      </c>
      <c r="H199" s="939"/>
      <c r="I199" s="939" t="s">
        <v>2313</v>
      </c>
      <c r="J199" s="1752"/>
      <c r="K199" s="176"/>
      <c r="L199" s="5"/>
      <c r="M199" s="1199" t="s">
        <v>2663</v>
      </c>
      <c r="N199" s="3" t="s">
        <v>1975</v>
      </c>
      <c r="O199" s="939" t="s">
        <v>76</v>
      </c>
      <c r="P199" s="937">
        <v>44694</v>
      </c>
      <c r="Q199" s="937">
        <v>44694</v>
      </c>
      <c r="R199" s="1034" t="s">
        <v>4223</v>
      </c>
      <c r="S199" s="943"/>
      <c r="T199" s="1564"/>
      <c r="U199" s="936"/>
    </row>
    <row r="200" spans="1:21" ht="40.5" customHeight="1">
      <c r="A200" s="936" t="s">
        <v>2479</v>
      </c>
      <c r="B200" s="937">
        <v>44694</v>
      </c>
      <c r="C200" s="936">
        <v>2</v>
      </c>
      <c r="D200" s="936">
        <f t="shared" si="15"/>
        <v>15</v>
      </c>
      <c r="E200" s="936"/>
      <c r="F200" s="936">
        <f t="shared" si="16"/>
        <v>5</v>
      </c>
      <c r="G200" s="1035" t="s">
        <v>5133</v>
      </c>
      <c r="H200" s="939"/>
      <c r="I200" s="939" t="s">
        <v>2313</v>
      </c>
      <c r="J200" s="1752"/>
      <c r="K200" s="176"/>
      <c r="L200" s="5"/>
      <c r="M200" s="1199" t="s">
        <v>2663</v>
      </c>
      <c r="N200" s="3" t="s">
        <v>1975</v>
      </c>
      <c r="O200" s="939" t="s">
        <v>76</v>
      </c>
      <c r="P200" s="937">
        <v>44694</v>
      </c>
      <c r="Q200" s="937">
        <v>44694</v>
      </c>
      <c r="R200" s="1034" t="s">
        <v>4223</v>
      </c>
      <c r="S200" s="943"/>
      <c r="T200" s="1564"/>
      <c r="U200" s="936"/>
    </row>
    <row r="201" spans="1:21" ht="40.5" customHeight="1">
      <c r="A201" s="936" t="s">
        <v>2479</v>
      </c>
      <c r="B201" s="937">
        <v>44694</v>
      </c>
      <c r="C201" s="936">
        <v>2</v>
      </c>
      <c r="D201" s="936">
        <f t="shared" si="15"/>
        <v>15</v>
      </c>
      <c r="E201" s="945" t="s">
        <v>4311</v>
      </c>
      <c r="F201" s="936">
        <f t="shared" si="16"/>
        <v>6</v>
      </c>
      <c r="G201" s="1035" t="s">
        <v>5134</v>
      </c>
      <c r="H201" s="939"/>
      <c r="I201" s="939" t="s">
        <v>550</v>
      </c>
      <c r="J201" s="1752" t="s">
        <v>5792</v>
      </c>
      <c r="K201" s="176">
        <v>44718</v>
      </c>
      <c r="L201" s="177">
        <v>44726</v>
      </c>
      <c r="M201" s="1199" t="s">
        <v>2690</v>
      </c>
      <c r="N201" s="3" t="s">
        <v>2607</v>
      </c>
      <c r="O201" s="939" t="s">
        <v>76</v>
      </c>
      <c r="P201" s="937">
        <v>44694</v>
      </c>
      <c r="Q201" s="937">
        <v>44694</v>
      </c>
      <c r="R201" s="1034" t="s">
        <v>4223</v>
      </c>
      <c r="S201" s="943"/>
      <c r="T201" s="1747"/>
      <c r="U201" s="936"/>
    </row>
    <row r="202" spans="1:21" ht="53.25" customHeight="1">
      <c r="A202" s="936" t="s">
        <v>2479</v>
      </c>
      <c r="B202" s="937">
        <v>44694</v>
      </c>
      <c r="C202" s="936">
        <v>2</v>
      </c>
      <c r="D202" s="936">
        <f t="shared" si="15"/>
        <v>15</v>
      </c>
      <c r="E202" s="945" t="s">
        <v>4354</v>
      </c>
      <c r="F202" s="936">
        <f t="shared" si="16"/>
        <v>7</v>
      </c>
      <c r="G202" s="1035" t="s">
        <v>5135</v>
      </c>
      <c r="H202" s="939"/>
      <c r="I202" s="939" t="s">
        <v>550</v>
      </c>
      <c r="J202" s="1752" t="s">
        <v>5791</v>
      </c>
      <c r="K202" s="176">
        <v>44760</v>
      </c>
      <c r="L202" s="5">
        <v>44804</v>
      </c>
      <c r="M202" s="1199" t="s">
        <v>4700</v>
      </c>
      <c r="N202" s="3" t="s">
        <v>2541</v>
      </c>
      <c r="O202" s="939" t="s">
        <v>76</v>
      </c>
      <c r="P202" s="937">
        <v>44694</v>
      </c>
      <c r="Q202" s="937">
        <v>44694</v>
      </c>
      <c r="R202" s="1034" t="s">
        <v>4223</v>
      </c>
      <c r="S202" s="943"/>
      <c r="T202" s="1747"/>
      <c r="U202" s="936"/>
    </row>
    <row r="203" spans="1:21" ht="40.5" customHeight="1">
      <c r="A203" s="936" t="s">
        <v>2479</v>
      </c>
      <c r="B203" s="937">
        <v>44694</v>
      </c>
      <c r="C203" s="936">
        <v>2</v>
      </c>
      <c r="D203" s="936">
        <f t="shared" si="15"/>
        <v>15</v>
      </c>
      <c r="E203" s="936"/>
      <c r="F203" s="936">
        <f t="shared" si="16"/>
        <v>8</v>
      </c>
      <c r="G203" s="1035" t="s">
        <v>5136</v>
      </c>
      <c r="H203" s="939"/>
      <c r="I203" s="939" t="s">
        <v>2313</v>
      </c>
      <c r="J203" s="1752"/>
      <c r="K203" s="176"/>
      <c r="L203" s="5"/>
      <c r="M203" s="1199"/>
      <c r="N203" s="3" t="s">
        <v>2527</v>
      </c>
      <c r="O203" s="939" t="s">
        <v>76</v>
      </c>
      <c r="P203" s="937">
        <v>44694</v>
      </c>
      <c r="Q203" s="937">
        <v>44694</v>
      </c>
      <c r="R203" s="1034" t="s">
        <v>4223</v>
      </c>
      <c r="S203" s="943"/>
      <c r="T203" s="1564"/>
      <c r="U203" s="936"/>
    </row>
    <row r="204" spans="1:21" ht="63" customHeight="1">
      <c r="A204" s="936" t="s">
        <v>2479</v>
      </c>
      <c r="B204" s="937">
        <v>44694</v>
      </c>
      <c r="C204" s="936">
        <v>2</v>
      </c>
      <c r="D204" s="936">
        <f t="shared" si="15"/>
        <v>15</v>
      </c>
      <c r="E204" s="945" t="s">
        <v>4358</v>
      </c>
      <c r="F204" s="936">
        <f t="shared" si="16"/>
        <v>9</v>
      </c>
      <c r="G204" s="1035" t="s">
        <v>5137</v>
      </c>
      <c r="H204" s="939"/>
      <c r="I204" s="939" t="s">
        <v>550</v>
      </c>
      <c r="J204" s="1752" t="s">
        <v>5791</v>
      </c>
      <c r="K204" s="176">
        <v>44865</v>
      </c>
      <c r="L204" s="5">
        <v>44883</v>
      </c>
      <c r="M204" s="1199" t="s">
        <v>4713</v>
      </c>
      <c r="N204" s="3" t="s">
        <v>2541</v>
      </c>
      <c r="O204" s="939" t="s">
        <v>76</v>
      </c>
      <c r="P204" s="937">
        <v>44694</v>
      </c>
      <c r="Q204" s="937">
        <v>44694</v>
      </c>
      <c r="R204" s="1034" t="s">
        <v>4223</v>
      </c>
      <c r="S204" s="943"/>
      <c r="T204" s="1747"/>
      <c r="U204" s="936"/>
    </row>
    <row r="205" spans="1:21" ht="40.5" customHeight="1">
      <c r="A205" s="936" t="s">
        <v>2479</v>
      </c>
      <c r="B205" s="937">
        <v>44694</v>
      </c>
      <c r="C205" s="936">
        <v>2</v>
      </c>
      <c r="D205" s="936">
        <f t="shared" si="15"/>
        <v>15</v>
      </c>
      <c r="E205" s="945" t="s">
        <v>4353</v>
      </c>
      <c r="F205" s="936">
        <f t="shared" si="16"/>
        <v>10</v>
      </c>
      <c r="G205" s="1035" t="s">
        <v>5138</v>
      </c>
      <c r="H205" s="939"/>
      <c r="I205" s="939" t="s">
        <v>550</v>
      </c>
      <c r="J205" s="1752" t="s">
        <v>5791</v>
      </c>
      <c r="K205" s="176">
        <v>44711</v>
      </c>
      <c r="L205" s="5">
        <v>44722</v>
      </c>
      <c r="M205" s="1199" t="s">
        <v>4893</v>
      </c>
      <c r="N205" s="3" t="s">
        <v>2527</v>
      </c>
      <c r="O205" s="939" t="s">
        <v>76</v>
      </c>
      <c r="P205" s="937">
        <v>44694</v>
      </c>
      <c r="Q205" s="937">
        <v>44694</v>
      </c>
      <c r="R205" s="1034" t="s">
        <v>4223</v>
      </c>
      <c r="S205" s="943"/>
      <c r="T205" s="1747"/>
      <c r="U205" s="936"/>
    </row>
    <row r="206" spans="1:21" ht="40.5" customHeight="1">
      <c r="A206" s="936" t="s">
        <v>2479</v>
      </c>
      <c r="B206" s="937">
        <v>44694</v>
      </c>
      <c r="C206" s="936">
        <v>2</v>
      </c>
      <c r="D206" s="936">
        <f t="shared" si="15"/>
        <v>15</v>
      </c>
      <c r="E206" s="945" t="s">
        <v>4353</v>
      </c>
      <c r="F206" s="936">
        <f t="shared" si="16"/>
        <v>11</v>
      </c>
      <c r="G206" s="1035" t="s">
        <v>5139</v>
      </c>
      <c r="H206" s="939"/>
      <c r="I206" s="939" t="s">
        <v>550</v>
      </c>
      <c r="J206" s="1752" t="s">
        <v>5791</v>
      </c>
      <c r="K206" s="176">
        <v>44711</v>
      </c>
      <c r="L206" s="5">
        <v>44722</v>
      </c>
      <c r="M206" s="1199" t="s">
        <v>4893</v>
      </c>
      <c r="N206" s="3" t="s">
        <v>2527</v>
      </c>
      <c r="O206" s="939" t="s">
        <v>76</v>
      </c>
      <c r="P206" s="937">
        <v>44694</v>
      </c>
      <c r="Q206" s="937">
        <v>44694</v>
      </c>
      <c r="R206" s="1034" t="s">
        <v>4223</v>
      </c>
      <c r="S206" s="943"/>
      <c r="T206" s="1747"/>
      <c r="U206" s="936"/>
    </row>
    <row r="207" spans="1:21" ht="40.5" customHeight="1">
      <c r="A207" s="936" t="s">
        <v>2479</v>
      </c>
      <c r="B207" s="937">
        <v>44694</v>
      </c>
      <c r="C207" s="936">
        <v>2</v>
      </c>
      <c r="D207" s="936">
        <f t="shared" si="15"/>
        <v>15</v>
      </c>
      <c r="E207" s="936"/>
      <c r="F207" s="936">
        <f t="shared" si="16"/>
        <v>12</v>
      </c>
      <c r="G207" s="1035" t="s">
        <v>5140</v>
      </c>
      <c r="H207" s="939"/>
      <c r="I207" s="939" t="s">
        <v>2313</v>
      </c>
      <c r="J207" s="1752"/>
      <c r="K207" s="176"/>
      <c r="L207" s="5"/>
      <c r="M207" s="1199" t="s">
        <v>4700</v>
      </c>
      <c r="N207" s="3" t="s">
        <v>2541</v>
      </c>
      <c r="O207" s="939" t="s">
        <v>76</v>
      </c>
      <c r="P207" s="937">
        <v>44694</v>
      </c>
      <c r="Q207" s="937">
        <v>44694</v>
      </c>
      <c r="R207" s="1034" t="s">
        <v>4223</v>
      </c>
      <c r="S207" s="943"/>
      <c r="T207" s="1564"/>
      <c r="U207" s="936"/>
    </row>
    <row r="208" spans="1:21" ht="40.5" customHeight="1">
      <c r="A208" s="936" t="s">
        <v>2479</v>
      </c>
      <c r="B208" s="937">
        <v>44694</v>
      </c>
      <c r="C208" s="936">
        <v>2</v>
      </c>
      <c r="D208" s="936">
        <f t="shared" si="15"/>
        <v>15</v>
      </c>
      <c r="E208" s="936"/>
      <c r="F208" s="936">
        <f t="shared" si="16"/>
        <v>13</v>
      </c>
      <c r="G208" s="1035" t="s">
        <v>5141</v>
      </c>
      <c r="H208" s="939"/>
      <c r="I208" s="939" t="s">
        <v>2313</v>
      </c>
      <c r="J208" s="1752"/>
      <c r="K208" s="176"/>
      <c r="L208" s="5"/>
      <c r="M208" s="1199" t="s">
        <v>4023</v>
      </c>
      <c r="N208" s="3" t="s">
        <v>2541</v>
      </c>
      <c r="O208" s="939" t="s">
        <v>76</v>
      </c>
      <c r="P208" s="937">
        <v>44694</v>
      </c>
      <c r="Q208" s="937">
        <v>44694</v>
      </c>
      <c r="R208" s="1034" t="s">
        <v>4223</v>
      </c>
      <c r="S208" s="943"/>
      <c r="T208" s="1564"/>
      <c r="U208" s="936"/>
    </row>
    <row r="209" spans="1:21" ht="40.5" customHeight="1">
      <c r="A209" s="936" t="s">
        <v>2479</v>
      </c>
      <c r="B209" s="937">
        <v>44694</v>
      </c>
      <c r="C209" s="936">
        <v>2</v>
      </c>
      <c r="D209" s="936">
        <f t="shared" si="15"/>
        <v>15</v>
      </c>
      <c r="E209" s="936"/>
      <c r="F209" s="936">
        <f t="shared" si="16"/>
        <v>14</v>
      </c>
      <c r="G209" s="1035" t="s">
        <v>5142</v>
      </c>
      <c r="H209" s="939"/>
      <c r="I209" s="939" t="s">
        <v>2313</v>
      </c>
      <c r="J209" s="1752"/>
      <c r="K209" s="176"/>
      <c r="L209" s="5"/>
      <c r="M209" s="1199"/>
      <c r="N209" s="3" t="s">
        <v>2541</v>
      </c>
      <c r="O209" s="939" t="s">
        <v>76</v>
      </c>
      <c r="P209" s="937">
        <v>44694</v>
      </c>
      <c r="Q209" s="937">
        <v>44694</v>
      </c>
      <c r="R209" s="1034" t="s">
        <v>4223</v>
      </c>
      <c r="S209" s="943"/>
      <c r="T209" s="1564"/>
      <c r="U209" s="936"/>
    </row>
    <row r="210" spans="1:21" ht="60" customHeight="1">
      <c r="A210" s="936" t="s">
        <v>2479</v>
      </c>
      <c r="B210" s="937">
        <v>44694</v>
      </c>
      <c r="C210" s="936">
        <v>2</v>
      </c>
      <c r="D210" s="936">
        <f t="shared" si="15"/>
        <v>15</v>
      </c>
      <c r="E210" s="945" t="s">
        <v>5000</v>
      </c>
      <c r="F210" s="936">
        <f t="shared" si="16"/>
        <v>15</v>
      </c>
      <c r="G210" s="1035" t="s">
        <v>5143</v>
      </c>
      <c r="H210" s="939"/>
      <c r="I210" s="939" t="s">
        <v>550</v>
      </c>
      <c r="J210" s="1752" t="s">
        <v>5792</v>
      </c>
      <c r="K210" s="176">
        <v>44599</v>
      </c>
      <c r="L210" s="5">
        <v>44617</v>
      </c>
      <c r="M210" s="1199" t="s">
        <v>4700</v>
      </c>
      <c r="N210" s="3" t="s">
        <v>2541</v>
      </c>
      <c r="O210" s="939" t="s">
        <v>76</v>
      </c>
      <c r="P210" s="937">
        <v>44694</v>
      </c>
      <c r="Q210" s="937">
        <v>44694</v>
      </c>
      <c r="R210" s="1034" t="s">
        <v>4223</v>
      </c>
      <c r="S210" s="943"/>
      <c r="T210" s="1747"/>
      <c r="U210" s="936"/>
    </row>
    <row r="211" spans="1:21" ht="40.5" customHeight="1">
      <c r="A211" s="936" t="s">
        <v>2479</v>
      </c>
      <c r="B211" s="937">
        <v>44694</v>
      </c>
      <c r="C211" s="936">
        <v>2</v>
      </c>
      <c r="D211" s="936">
        <f t="shared" si="15"/>
        <v>15</v>
      </c>
      <c r="E211" s="945" t="s">
        <v>4348</v>
      </c>
      <c r="F211" s="936">
        <f t="shared" si="16"/>
        <v>16</v>
      </c>
      <c r="G211" s="1035" t="s">
        <v>5144</v>
      </c>
      <c r="H211" s="939"/>
      <c r="I211" s="939" t="s">
        <v>550</v>
      </c>
      <c r="J211" s="1752" t="s">
        <v>5791</v>
      </c>
      <c r="K211" s="176">
        <v>44634</v>
      </c>
      <c r="L211" s="177">
        <v>44653</v>
      </c>
      <c r="M211" s="1199" t="s">
        <v>4818</v>
      </c>
      <c r="N211" s="3" t="s">
        <v>2515</v>
      </c>
      <c r="O211" s="939" t="s">
        <v>76</v>
      </c>
      <c r="P211" s="937">
        <v>44694</v>
      </c>
      <c r="Q211" s="937">
        <v>44694</v>
      </c>
      <c r="R211" s="1034" t="s">
        <v>4223</v>
      </c>
      <c r="S211" s="943"/>
      <c r="T211" s="1747"/>
      <c r="U211" s="936"/>
    </row>
    <row r="212" spans="1:21" ht="40.5" customHeight="1">
      <c r="A212" s="936" t="s">
        <v>2479</v>
      </c>
      <c r="B212" s="937">
        <v>44694</v>
      </c>
      <c r="C212" s="936">
        <v>2</v>
      </c>
      <c r="D212" s="936">
        <f t="shared" si="15"/>
        <v>15</v>
      </c>
      <c r="E212" s="945" t="s">
        <v>4346</v>
      </c>
      <c r="F212" s="936">
        <f t="shared" si="16"/>
        <v>17</v>
      </c>
      <c r="G212" s="1035" t="s">
        <v>5145</v>
      </c>
      <c r="H212" s="939"/>
      <c r="I212" s="939" t="s">
        <v>550</v>
      </c>
      <c r="J212" s="1752" t="s">
        <v>5791</v>
      </c>
      <c r="K212" s="176">
        <v>44634</v>
      </c>
      <c r="L212" s="177">
        <v>44639</v>
      </c>
      <c r="M212" s="1199" t="s">
        <v>4657</v>
      </c>
      <c r="N212" s="3" t="s">
        <v>2515</v>
      </c>
      <c r="O212" s="939" t="s">
        <v>76</v>
      </c>
      <c r="P212" s="937">
        <v>44694</v>
      </c>
      <c r="Q212" s="937">
        <v>44694</v>
      </c>
      <c r="R212" s="1034" t="s">
        <v>4223</v>
      </c>
      <c r="S212" s="943"/>
      <c r="T212" s="1747"/>
      <c r="U212" s="936"/>
    </row>
    <row r="213" spans="1:21" ht="40.5" customHeight="1">
      <c r="A213" s="936" t="s">
        <v>2479</v>
      </c>
      <c r="B213" s="937">
        <v>44694</v>
      </c>
      <c r="C213" s="936">
        <v>2</v>
      </c>
      <c r="D213" s="936">
        <f t="shared" si="15"/>
        <v>15</v>
      </c>
      <c r="E213" s="945" t="s">
        <v>4347</v>
      </c>
      <c r="F213" s="936">
        <f t="shared" si="16"/>
        <v>18</v>
      </c>
      <c r="G213" s="1035" t="s">
        <v>5146</v>
      </c>
      <c r="H213" s="939"/>
      <c r="I213" s="939" t="s">
        <v>550</v>
      </c>
      <c r="J213" s="1752" t="s">
        <v>5791</v>
      </c>
      <c r="K213" s="176">
        <v>44634</v>
      </c>
      <c r="L213" s="177">
        <v>44653</v>
      </c>
      <c r="M213" s="1199" t="s">
        <v>4702</v>
      </c>
      <c r="N213" s="3" t="s">
        <v>2515</v>
      </c>
      <c r="O213" s="939" t="s">
        <v>76</v>
      </c>
      <c r="P213" s="937">
        <v>44694</v>
      </c>
      <c r="Q213" s="937">
        <v>44694</v>
      </c>
      <c r="R213" s="1034" t="s">
        <v>4223</v>
      </c>
      <c r="S213" s="943"/>
      <c r="T213" s="1747"/>
      <c r="U213" s="936"/>
    </row>
    <row r="214" spans="1:21" ht="40.5" customHeight="1">
      <c r="A214" s="936" t="s">
        <v>2479</v>
      </c>
      <c r="B214" s="937">
        <v>44694</v>
      </c>
      <c r="C214" s="936">
        <v>2</v>
      </c>
      <c r="D214" s="936">
        <f t="shared" si="15"/>
        <v>15</v>
      </c>
      <c r="E214" s="945" t="s">
        <v>4359</v>
      </c>
      <c r="F214" s="936">
        <f t="shared" si="16"/>
        <v>19</v>
      </c>
      <c r="G214" s="1035" t="s">
        <v>5147</v>
      </c>
      <c r="H214" s="939"/>
      <c r="I214" s="939" t="s">
        <v>550</v>
      </c>
      <c r="J214" s="1752" t="s">
        <v>5791</v>
      </c>
      <c r="K214" s="176">
        <v>44889</v>
      </c>
      <c r="L214" s="5">
        <v>44900</v>
      </c>
      <c r="M214" s="1199" t="s">
        <v>4825</v>
      </c>
      <c r="N214" s="3" t="s">
        <v>2527</v>
      </c>
      <c r="O214" s="939" t="s">
        <v>76</v>
      </c>
      <c r="P214" s="937">
        <v>44694</v>
      </c>
      <c r="Q214" s="937">
        <v>44694</v>
      </c>
      <c r="R214" s="1034" t="s">
        <v>4223</v>
      </c>
      <c r="S214" s="943"/>
      <c r="T214" s="1747"/>
      <c r="U214" s="936"/>
    </row>
    <row r="215" spans="1:21" ht="40.5" customHeight="1">
      <c r="A215" s="936" t="s">
        <v>2479</v>
      </c>
      <c r="B215" s="937">
        <v>44694</v>
      </c>
      <c r="C215" s="936">
        <v>2</v>
      </c>
      <c r="D215" s="936">
        <f t="shared" si="15"/>
        <v>15</v>
      </c>
      <c r="E215" s="945" t="s">
        <v>4359</v>
      </c>
      <c r="F215" s="936">
        <f t="shared" si="16"/>
        <v>20</v>
      </c>
      <c r="G215" s="1035" t="s">
        <v>5148</v>
      </c>
      <c r="H215" s="939"/>
      <c r="I215" s="939" t="s">
        <v>550</v>
      </c>
      <c r="J215" s="1752" t="s">
        <v>5791</v>
      </c>
      <c r="K215" s="176">
        <v>44889</v>
      </c>
      <c r="L215" s="5">
        <v>44900</v>
      </c>
      <c r="M215" s="1199" t="s">
        <v>4825</v>
      </c>
      <c r="N215" s="3" t="s">
        <v>2527</v>
      </c>
      <c r="O215" s="939" t="s">
        <v>76</v>
      </c>
      <c r="P215" s="937">
        <v>44694</v>
      </c>
      <c r="Q215" s="937">
        <v>44694</v>
      </c>
      <c r="R215" s="1034" t="s">
        <v>4223</v>
      </c>
      <c r="S215" s="943"/>
      <c r="T215" s="1747"/>
      <c r="U215" s="936"/>
    </row>
    <row r="216" spans="1:21" ht="40.5" customHeight="1">
      <c r="A216" s="936" t="s">
        <v>2479</v>
      </c>
      <c r="B216" s="937">
        <v>44694</v>
      </c>
      <c r="C216" s="936">
        <v>2</v>
      </c>
      <c r="D216" s="936">
        <f t="shared" si="15"/>
        <v>15</v>
      </c>
      <c r="E216" s="936"/>
      <c r="F216" s="936">
        <f t="shared" si="16"/>
        <v>21</v>
      </c>
      <c r="G216" s="1035" t="s">
        <v>5149</v>
      </c>
      <c r="H216" s="939"/>
      <c r="I216" s="939" t="s">
        <v>2313</v>
      </c>
      <c r="J216" s="1752"/>
      <c r="K216" s="176"/>
      <c r="L216" s="5"/>
      <c r="M216" s="1199" t="s">
        <v>4825</v>
      </c>
      <c r="N216" s="3" t="s">
        <v>2527</v>
      </c>
      <c r="O216" s="939" t="s">
        <v>76</v>
      </c>
      <c r="P216" s="937">
        <v>44694</v>
      </c>
      <c r="Q216" s="937">
        <v>44694</v>
      </c>
      <c r="R216" s="1034" t="s">
        <v>4223</v>
      </c>
      <c r="S216" s="943"/>
      <c r="T216" s="1564"/>
      <c r="U216" s="936"/>
    </row>
    <row r="217" spans="1:21" ht="40.5" customHeight="1">
      <c r="A217" s="936" t="s">
        <v>2479</v>
      </c>
      <c r="B217" s="937">
        <v>44694</v>
      </c>
      <c r="C217" s="936">
        <v>2</v>
      </c>
      <c r="D217" s="936">
        <f t="shared" si="15"/>
        <v>15</v>
      </c>
      <c r="E217" s="945" t="s">
        <v>4352</v>
      </c>
      <c r="F217" s="936">
        <f t="shared" si="16"/>
        <v>22</v>
      </c>
      <c r="G217" s="1035" t="s">
        <v>5150</v>
      </c>
      <c r="H217" s="939"/>
      <c r="I217" s="939" t="s">
        <v>550</v>
      </c>
      <c r="J217" s="1752" t="s">
        <v>5791</v>
      </c>
      <c r="K217" s="176">
        <v>44705</v>
      </c>
      <c r="L217" s="5">
        <v>44742</v>
      </c>
      <c r="M217" s="1199" t="s">
        <v>4819</v>
      </c>
      <c r="N217" s="3" t="s">
        <v>2527</v>
      </c>
      <c r="O217" s="939" t="s">
        <v>76</v>
      </c>
      <c r="P217" s="937">
        <v>44694</v>
      </c>
      <c r="Q217" s="937">
        <v>44694</v>
      </c>
      <c r="R217" s="1034" t="s">
        <v>4223</v>
      </c>
      <c r="S217" s="943"/>
      <c r="T217" s="1747"/>
      <c r="U217" s="936"/>
    </row>
    <row r="218" spans="1:21" ht="40.5" customHeight="1">
      <c r="A218" s="936" t="s">
        <v>2479</v>
      </c>
      <c r="B218" s="937">
        <v>44694</v>
      </c>
      <c r="C218" s="936">
        <v>2</v>
      </c>
      <c r="D218" s="936">
        <f t="shared" si="15"/>
        <v>15</v>
      </c>
      <c r="E218" s="945" t="s">
        <v>4352</v>
      </c>
      <c r="F218" s="936">
        <f t="shared" si="16"/>
        <v>23</v>
      </c>
      <c r="G218" s="1035" t="s">
        <v>5151</v>
      </c>
      <c r="H218" s="939"/>
      <c r="I218" s="939" t="s">
        <v>550</v>
      </c>
      <c r="J218" s="1752" t="s">
        <v>5791</v>
      </c>
      <c r="K218" s="176">
        <v>44705</v>
      </c>
      <c r="L218" s="5">
        <v>44742</v>
      </c>
      <c r="M218" s="1199" t="s">
        <v>4819</v>
      </c>
      <c r="N218" s="3" t="s">
        <v>2527</v>
      </c>
      <c r="O218" s="939" t="s">
        <v>76</v>
      </c>
      <c r="P218" s="937">
        <v>44694</v>
      </c>
      <c r="Q218" s="937">
        <v>44694</v>
      </c>
      <c r="R218" s="1034" t="s">
        <v>4223</v>
      </c>
      <c r="S218" s="943"/>
      <c r="T218" s="1747"/>
      <c r="U218" s="936"/>
    </row>
    <row r="219" spans="1:21" ht="40.5" customHeight="1">
      <c r="A219" s="936" t="s">
        <v>2479</v>
      </c>
      <c r="B219" s="937">
        <v>44694</v>
      </c>
      <c r="C219" s="936">
        <v>2</v>
      </c>
      <c r="D219" s="936">
        <v>16</v>
      </c>
      <c r="E219" s="945" t="s">
        <v>4352</v>
      </c>
      <c r="F219" s="936">
        <f t="shared" si="16"/>
        <v>24</v>
      </c>
      <c r="G219" s="1035" t="s">
        <v>5152</v>
      </c>
      <c r="H219" s="939"/>
      <c r="I219" s="939" t="s">
        <v>550</v>
      </c>
      <c r="J219" s="1752" t="s">
        <v>5791</v>
      </c>
      <c r="K219" s="176">
        <v>44705</v>
      </c>
      <c r="L219" s="5">
        <v>44742</v>
      </c>
      <c r="M219" s="1199" t="s">
        <v>4819</v>
      </c>
      <c r="N219" s="3" t="s">
        <v>2527</v>
      </c>
      <c r="O219" s="939" t="s">
        <v>76</v>
      </c>
      <c r="P219" s="937">
        <v>44694</v>
      </c>
      <c r="Q219" s="937">
        <v>44694</v>
      </c>
      <c r="R219" s="1034" t="s">
        <v>4223</v>
      </c>
      <c r="S219" s="943"/>
      <c r="T219" s="1747"/>
      <c r="U219" s="936"/>
    </row>
    <row r="220" spans="1:21" ht="67.5" customHeight="1">
      <c r="A220" s="936" t="s">
        <v>2479</v>
      </c>
      <c r="B220" s="937">
        <v>44854</v>
      </c>
      <c r="C220" s="936">
        <v>3</v>
      </c>
      <c r="D220" s="936">
        <f t="shared" ref="D220:D248" si="17">D219</f>
        <v>16</v>
      </c>
      <c r="E220" s="511" t="s">
        <v>4357</v>
      </c>
      <c r="F220" s="936">
        <f t="shared" si="16"/>
        <v>25</v>
      </c>
      <c r="G220" s="1035" t="s">
        <v>5359</v>
      </c>
      <c r="H220" s="939"/>
      <c r="I220" s="939" t="s">
        <v>550</v>
      </c>
      <c r="J220" s="1752" t="s">
        <v>5791</v>
      </c>
      <c r="K220" s="176">
        <v>45168</v>
      </c>
      <c r="L220" s="177">
        <v>45199</v>
      </c>
      <c r="M220" s="1199" t="s">
        <v>4749</v>
      </c>
      <c r="N220" s="3" t="s">
        <v>1975</v>
      </c>
      <c r="O220" s="939" t="s">
        <v>165</v>
      </c>
      <c r="P220" s="937">
        <v>44854</v>
      </c>
      <c r="Q220" s="937">
        <v>44854</v>
      </c>
      <c r="R220" s="1034" t="s">
        <v>4223</v>
      </c>
      <c r="S220" s="943"/>
      <c r="T220" s="1747"/>
      <c r="U220" s="936"/>
    </row>
    <row r="221" spans="1:21" ht="56.25" customHeight="1">
      <c r="A221" s="936" t="s">
        <v>2479</v>
      </c>
      <c r="B221" s="937">
        <v>44694</v>
      </c>
      <c r="C221" s="936">
        <v>2</v>
      </c>
      <c r="D221" s="936">
        <f t="shared" si="17"/>
        <v>16</v>
      </c>
      <c r="E221" s="511" t="s">
        <v>4739</v>
      </c>
      <c r="F221" s="936">
        <f t="shared" si="16"/>
        <v>26</v>
      </c>
      <c r="G221" s="1035" t="s">
        <v>5074</v>
      </c>
      <c r="H221" s="939"/>
      <c r="I221" s="939" t="s">
        <v>550</v>
      </c>
      <c r="J221" s="1752"/>
      <c r="K221" s="176">
        <v>44562</v>
      </c>
      <c r="L221" s="5">
        <v>44926</v>
      </c>
      <c r="M221" s="1199" t="s">
        <v>5320</v>
      </c>
      <c r="N221" s="3" t="s">
        <v>1975</v>
      </c>
      <c r="O221" s="939" t="s">
        <v>165</v>
      </c>
      <c r="P221" s="937">
        <v>44694</v>
      </c>
      <c r="Q221" s="937">
        <v>44694</v>
      </c>
      <c r="R221" s="1034" t="s">
        <v>4223</v>
      </c>
      <c r="S221" s="943"/>
      <c r="T221" s="1747" t="s">
        <v>5783</v>
      </c>
      <c r="U221" s="936"/>
    </row>
    <row r="222" spans="1:21" ht="135" customHeight="1">
      <c r="A222" s="936" t="s">
        <v>2479</v>
      </c>
      <c r="B222" s="937">
        <v>44694</v>
      </c>
      <c r="C222" s="936">
        <v>2</v>
      </c>
      <c r="D222" s="936">
        <f t="shared" si="17"/>
        <v>16</v>
      </c>
      <c r="E222" s="511" t="s">
        <v>4739</v>
      </c>
      <c r="F222" s="936">
        <f t="shared" si="16"/>
        <v>27</v>
      </c>
      <c r="G222" s="1035" t="s">
        <v>5101</v>
      </c>
      <c r="H222" s="939"/>
      <c r="I222" s="939" t="s">
        <v>550</v>
      </c>
      <c r="J222" s="1752"/>
      <c r="K222" s="176">
        <v>44562</v>
      </c>
      <c r="L222" s="5">
        <v>44926</v>
      </c>
      <c r="M222" s="1199" t="s">
        <v>5320</v>
      </c>
      <c r="N222" s="3" t="s">
        <v>1975</v>
      </c>
      <c r="O222" s="939" t="s">
        <v>165</v>
      </c>
      <c r="P222" s="937">
        <v>44694</v>
      </c>
      <c r="Q222" s="937">
        <v>44694</v>
      </c>
      <c r="R222" s="1034" t="s">
        <v>4223</v>
      </c>
      <c r="S222" s="943"/>
      <c r="T222" s="1747"/>
      <c r="U222" s="936"/>
    </row>
    <row r="223" spans="1:21" ht="53.25" customHeight="1">
      <c r="A223" s="936" t="s">
        <v>2479</v>
      </c>
      <c r="B223" s="937">
        <v>44694</v>
      </c>
      <c r="C223" s="936">
        <v>2</v>
      </c>
      <c r="D223" s="936">
        <f t="shared" si="17"/>
        <v>16</v>
      </c>
      <c r="E223" s="936"/>
      <c r="F223" s="936">
        <f t="shared" si="16"/>
        <v>28</v>
      </c>
      <c r="G223" s="1035" t="s">
        <v>5156</v>
      </c>
      <c r="H223" s="939"/>
      <c r="I223" s="939" t="s">
        <v>2313</v>
      </c>
      <c r="J223" s="1752"/>
      <c r="K223" s="176"/>
      <c r="L223" s="5"/>
      <c r="M223" s="1199" t="s">
        <v>4663</v>
      </c>
      <c r="N223" s="3" t="s">
        <v>1975</v>
      </c>
      <c r="O223" s="939" t="s">
        <v>76</v>
      </c>
      <c r="P223" s="937">
        <v>44694</v>
      </c>
      <c r="Q223" s="937">
        <v>44694</v>
      </c>
      <c r="R223" s="1034" t="s">
        <v>4223</v>
      </c>
      <c r="S223" s="943"/>
      <c r="T223" s="1564"/>
      <c r="U223" s="936"/>
    </row>
    <row r="224" spans="1:21" ht="54.75" customHeight="1">
      <c r="A224" s="936" t="s">
        <v>2479</v>
      </c>
      <c r="B224" s="937">
        <v>44694</v>
      </c>
      <c r="C224" s="936">
        <v>2</v>
      </c>
      <c r="D224" s="936">
        <f t="shared" si="17"/>
        <v>16</v>
      </c>
      <c r="E224" s="936"/>
      <c r="F224" s="936">
        <f t="shared" si="16"/>
        <v>29</v>
      </c>
      <c r="G224" s="1035" t="s">
        <v>5157</v>
      </c>
      <c r="H224" s="939"/>
      <c r="I224" s="939" t="s">
        <v>2313</v>
      </c>
      <c r="J224" s="1752"/>
      <c r="K224" s="176"/>
      <c r="L224" s="5"/>
      <c r="M224" s="1199" t="s">
        <v>4663</v>
      </c>
      <c r="N224" s="3" t="s">
        <v>1975</v>
      </c>
      <c r="O224" s="939" t="s">
        <v>76</v>
      </c>
      <c r="P224" s="937">
        <v>44694</v>
      </c>
      <c r="Q224" s="937">
        <v>44694</v>
      </c>
      <c r="R224" s="1034" t="s">
        <v>4223</v>
      </c>
      <c r="S224" s="943"/>
      <c r="T224" s="1564"/>
      <c r="U224" s="936"/>
    </row>
    <row r="225" spans="1:21" ht="53.25" customHeight="1">
      <c r="A225" s="936" t="s">
        <v>2479</v>
      </c>
      <c r="B225" s="937">
        <v>44694</v>
      </c>
      <c r="C225" s="936">
        <v>2</v>
      </c>
      <c r="D225" s="936">
        <f t="shared" si="17"/>
        <v>16</v>
      </c>
      <c r="E225" s="936"/>
      <c r="F225" s="936">
        <f t="shared" si="16"/>
        <v>30</v>
      </c>
      <c r="G225" s="1035" t="s">
        <v>5158</v>
      </c>
      <c r="H225" s="939"/>
      <c r="I225" s="939" t="s">
        <v>2313</v>
      </c>
      <c r="J225" s="1752"/>
      <c r="K225" s="176"/>
      <c r="L225" s="5"/>
      <c r="M225" s="1199" t="s">
        <v>4663</v>
      </c>
      <c r="N225" s="3" t="s">
        <v>1975</v>
      </c>
      <c r="O225" s="939" t="s">
        <v>76</v>
      </c>
      <c r="P225" s="937">
        <v>44694</v>
      </c>
      <c r="Q225" s="937">
        <v>44694</v>
      </c>
      <c r="R225" s="1034" t="s">
        <v>4223</v>
      </c>
      <c r="S225" s="943"/>
      <c r="T225" s="1564"/>
      <c r="U225" s="936"/>
    </row>
    <row r="226" spans="1:21" ht="65.25" customHeight="1">
      <c r="A226" s="936" t="s">
        <v>2479</v>
      </c>
      <c r="B226" s="937">
        <v>44694</v>
      </c>
      <c r="C226" s="936">
        <v>2</v>
      </c>
      <c r="D226" s="936">
        <f t="shared" si="17"/>
        <v>16</v>
      </c>
      <c r="E226" s="2"/>
      <c r="F226" s="936">
        <f t="shared" si="16"/>
        <v>31</v>
      </c>
      <c r="G226" s="1035" t="s">
        <v>5159</v>
      </c>
      <c r="H226" s="939"/>
      <c r="I226" s="939" t="s">
        <v>2313</v>
      </c>
      <c r="J226" s="1752"/>
      <c r="K226" s="176"/>
      <c r="L226" s="5"/>
      <c r="M226" s="1199" t="s">
        <v>5327</v>
      </c>
      <c r="N226" s="3" t="s">
        <v>1975</v>
      </c>
      <c r="O226" s="939" t="s">
        <v>76</v>
      </c>
      <c r="P226" s="937">
        <v>44694</v>
      </c>
      <c r="Q226" s="937">
        <v>44694</v>
      </c>
      <c r="R226" s="1034" t="s">
        <v>4223</v>
      </c>
      <c r="S226" s="943"/>
      <c r="T226" s="1747"/>
      <c r="U226" s="936"/>
    </row>
    <row r="227" spans="1:21" ht="55.5" customHeight="1">
      <c r="A227" s="936" t="s">
        <v>2479</v>
      </c>
      <c r="B227" s="937">
        <v>44694</v>
      </c>
      <c r="C227" s="936">
        <v>2</v>
      </c>
      <c r="D227" s="936">
        <f t="shared" si="17"/>
        <v>16</v>
      </c>
      <c r="E227" s="2"/>
      <c r="F227" s="936">
        <f t="shared" si="16"/>
        <v>32</v>
      </c>
      <c r="G227" s="1035" t="s">
        <v>5160</v>
      </c>
      <c r="H227" s="939"/>
      <c r="I227" s="939" t="s">
        <v>2313</v>
      </c>
      <c r="J227" s="1752"/>
      <c r="K227" s="176"/>
      <c r="L227" s="5"/>
      <c r="M227" s="1199" t="s">
        <v>5327</v>
      </c>
      <c r="N227" s="3" t="s">
        <v>1975</v>
      </c>
      <c r="O227" s="939" t="s">
        <v>76</v>
      </c>
      <c r="P227" s="937">
        <v>44694</v>
      </c>
      <c r="Q227" s="937">
        <v>44694</v>
      </c>
      <c r="R227" s="1034" t="s">
        <v>4223</v>
      </c>
      <c r="S227" s="943"/>
      <c r="T227" s="1747"/>
      <c r="U227" s="936"/>
    </row>
    <row r="228" spans="1:21" ht="60" customHeight="1">
      <c r="A228" s="936" t="s">
        <v>2479</v>
      </c>
      <c r="B228" s="937">
        <v>44694</v>
      </c>
      <c r="C228" s="936">
        <v>2</v>
      </c>
      <c r="D228" s="936">
        <f t="shared" si="17"/>
        <v>16</v>
      </c>
      <c r="E228" s="2"/>
      <c r="F228" s="936">
        <f t="shared" si="16"/>
        <v>33</v>
      </c>
      <c r="G228" s="1035" t="s">
        <v>5161</v>
      </c>
      <c r="H228" s="939"/>
      <c r="I228" s="939" t="s">
        <v>2313</v>
      </c>
      <c r="J228" s="1752"/>
      <c r="K228" s="176"/>
      <c r="L228" s="5"/>
      <c r="M228" s="1199" t="s">
        <v>5327</v>
      </c>
      <c r="N228" s="3" t="s">
        <v>1975</v>
      </c>
      <c r="O228" s="939" t="s">
        <v>76</v>
      </c>
      <c r="P228" s="937">
        <v>44694</v>
      </c>
      <c r="Q228" s="937">
        <v>44694</v>
      </c>
      <c r="R228" s="1034" t="s">
        <v>4223</v>
      </c>
      <c r="S228" s="943"/>
      <c r="T228" s="1747"/>
      <c r="U228" s="936"/>
    </row>
    <row r="229" spans="1:21" ht="54.75" customHeight="1">
      <c r="A229" s="936" t="s">
        <v>2479</v>
      </c>
      <c r="B229" s="937">
        <v>44694</v>
      </c>
      <c r="C229" s="936">
        <v>2</v>
      </c>
      <c r="D229" s="936">
        <f t="shared" si="17"/>
        <v>16</v>
      </c>
      <c r="E229" s="936"/>
      <c r="F229" s="936">
        <f t="shared" ref="F229:F260" si="18">F228+1</f>
        <v>34</v>
      </c>
      <c r="G229" s="1035" t="s">
        <v>5162</v>
      </c>
      <c r="H229" s="939"/>
      <c r="I229" s="939" t="s">
        <v>2313</v>
      </c>
      <c r="J229" s="1752"/>
      <c r="K229" s="176"/>
      <c r="L229" s="5"/>
      <c r="M229" s="1199" t="s">
        <v>4799</v>
      </c>
      <c r="N229" s="3" t="s">
        <v>2541</v>
      </c>
      <c r="O229" s="939" t="s">
        <v>76</v>
      </c>
      <c r="P229" s="937">
        <v>44694</v>
      </c>
      <c r="Q229" s="937">
        <v>44694</v>
      </c>
      <c r="R229" s="1034" t="s">
        <v>4223</v>
      </c>
      <c r="S229" s="943"/>
      <c r="T229" s="1564"/>
      <c r="U229" s="936"/>
    </row>
    <row r="230" spans="1:21" ht="55.5" customHeight="1">
      <c r="A230" s="936" t="s">
        <v>2479</v>
      </c>
      <c r="B230" s="937">
        <v>44694</v>
      </c>
      <c r="C230" s="936">
        <v>2</v>
      </c>
      <c r="D230" s="936">
        <f t="shared" si="17"/>
        <v>16</v>
      </c>
      <c r="E230" s="944" t="s">
        <v>4519</v>
      </c>
      <c r="F230" s="936">
        <f t="shared" si="18"/>
        <v>35</v>
      </c>
      <c r="G230" s="1035" t="s">
        <v>5163</v>
      </c>
      <c r="H230" s="939"/>
      <c r="I230" s="939" t="s">
        <v>550</v>
      </c>
      <c r="J230" s="1752" t="s">
        <v>5790</v>
      </c>
      <c r="K230" s="176">
        <v>44862</v>
      </c>
      <c r="L230" s="5">
        <v>44898</v>
      </c>
      <c r="M230" s="1199" t="s">
        <v>5322</v>
      </c>
      <c r="N230" s="3" t="s">
        <v>1975</v>
      </c>
      <c r="O230" s="939" t="s">
        <v>76</v>
      </c>
      <c r="P230" s="937">
        <v>44694</v>
      </c>
      <c r="Q230" s="937">
        <v>44694</v>
      </c>
      <c r="R230" s="1034" t="s">
        <v>4223</v>
      </c>
      <c r="S230" s="943"/>
      <c r="T230" s="1747"/>
      <c r="U230" s="936"/>
    </row>
    <row r="231" spans="1:21" ht="60.75" customHeight="1">
      <c r="A231" s="936" t="s">
        <v>2479</v>
      </c>
      <c r="B231" s="937">
        <v>44694</v>
      </c>
      <c r="C231" s="936">
        <v>2</v>
      </c>
      <c r="D231" s="936">
        <f t="shared" si="17"/>
        <v>16</v>
      </c>
      <c r="E231" s="944" t="s">
        <v>4519</v>
      </c>
      <c r="F231" s="936">
        <f t="shared" si="18"/>
        <v>36</v>
      </c>
      <c r="G231" s="1035" t="s">
        <v>5164</v>
      </c>
      <c r="H231" s="939"/>
      <c r="I231" s="939" t="s">
        <v>550</v>
      </c>
      <c r="J231" s="1752" t="s">
        <v>5790</v>
      </c>
      <c r="K231" s="176">
        <v>44862</v>
      </c>
      <c r="L231" s="5">
        <v>44898</v>
      </c>
      <c r="M231" s="1199" t="s">
        <v>5322</v>
      </c>
      <c r="N231" s="3" t="s">
        <v>1975</v>
      </c>
      <c r="O231" s="939" t="s">
        <v>76</v>
      </c>
      <c r="P231" s="937">
        <v>44694</v>
      </c>
      <c r="Q231" s="937">
        <v>44694</v>
      </c>
      <c r="R231" s="1034" t="s">
        <v>4223</v>
      </c>
      <c r="S231" s="943"/>
      <c r="T231" s="1747"/>
      <c r="U231" s="936"/>
    </row>
    <row r="232" spans="1:21" ht="56.25" customHeight="1">
      <c r="A232" s="936" t="s">
        <v>2479</v>
      </c>
      <c r="B232" s="937">
        <v>44694</v>
      </c>
      <c r="C232" s="936">
        <v>2</v>
      </c>
      <c r="D232" s="936">
        <f t="shared" si="17"/>
        <v>16</v>
      </c>
      <c r="E232" s="944" t="s">
        <v>4519</v>
      </c>
      <c r="F232" s="936">
        <f t="shared" si="18"/>
        <v>37</v>
      </c>
      <c r="G232" s="1035" t="s">
        <v>5165</v>
      </c>
      <c r="H232" s="939"/>
      <c r="I232" s="939" t="s">
        <v>550</v>
      </c>
      <c r="J232" s="1752" t="s">
        <v>5790</v>
      </c>
      <c r="K232" s="176">
        <v>44862</v>
      </c>
      <c r="L232" s="5">
        <v>44898</v>
      </c>
      <c r="M232" s="1199" t="s">
        <v>5322</v>
      </c>
      <c r="N232" s="3" t="s">
        <v>1975</v>
      </c>
      <c r="O232" s="939" t="s">
        <v>76</v>
      </c>
      <c r="P232" s="937">
        <v>44694</v>
      </c>
      <c r="Q232" s="937">
        <v>44694</v>
      </c>
      <c r="R232" s="1034" t="s">
        <v>4223</v>
      </c>
      <c r="S232" s="943"/>
      <c r="T232" s="1747"/>
      <c r="U232" s="936"/>
    </row>
    <row r="233" spans="1:21" ht="40.5" customHeight="1">
      <c r="A233" s="936" t="s">
        <v>2479</v>
      </c>
      <c r="B233" s="937">
        <v>44694</v>
      </c>
      <c r="C233" s="936">
        <v>2</v>
      </c>
      <c r="D233" s="936">
        <f t="shared" si="17"/>
        <v>16</v>
      </c>
      <c r="E233" s="936"/>
      <c r="F233" s="936">
        <f t="shared" si="18"/>
        <v>38</v>
      </c>
      <c r="G233" s="1035" t="s">
        <v>5166</v>
      </c>
      <c r="H233" s="939"/>
      <c r="I233" s="939" t="s">
        <v>2313</v>
      </c>
      <c r="J233" s="1752"/>
      <c r="K233" s="176"/>
      <c r="L233" s="5"/>
      <c r="M233" s="1199" t="s">
        <v>2538</v>
      </c>
      <c r="N233" s="3" t="s">
        <v>2527</v>
      </c>
      <c r="O233" s="939" t="s">
        <v>76</v>
      </c>
      <c r="P233" s="937">
        <v>44694</v>
      </c>
      <c r="Q233" s="937">
        <v>44694</v>
      </c>
      <c r="R233" s="1034" t="s">
        <v>4223</v>
      </c>
      <c r="S233" s="943"/>
      <c r="T233" s="1564"/>
      <c r="U233" s="936"/>
    </row>
    <row r="234" spans="1:21" ht="40.5" customHeight="1">
      <c r="A234" s="936" t="s">
        <v>2479</v>
      </c>
      <c r="B234" s="937">
        <v>44694</v>
      </c>
      <c r="C234" s="936">
        <v>2</v>
      </c>
      <c r="D234" s="936">
        <f t="shared" si="17"/>
        <v>16</v>
      </c>
      <c r="E234" s="936"/>
      <c r="F234" s="936">
        <f t="shared" si="18"/>
        <v>39</v>
      </c>
      <c r="G234" s="1035" t="s">
        <v>5167</v>
      </c>
      <c r="H234" s="939"/>
      <c r="I234" s="939" t="s">
        <v>2313</v>
      </c>
      <c r="J234" s="1752"/>
      <c r="K234" s="176"/>
      <c r="L234" s="5"/>
      <c r="M234" s="1199" t="s">
        <v>2538</v>
      </c>
      <c r="N234" s="3" t="s">
        <v>2527</v>
      </c>
      <c r="O234" s="939" t="s">
        <v>76</v>
      </c>
      <c r="P234" s="937">
        <v>44694</v>
      </c>
      <c r="Q234" s="937">
        <v>44694</v>
      </c>
      <c r="R234" s="1034" t="s">
        <v>4223</v>
      </c>
      <c r="S234" s="943"/>
      <c r="T234" s="1564"/>
      <c r="U234" s="936"/>
    </row>
    <row r="235" spans="1:21" ht="40.5" customHeight="1">
      <c r="A235" s="936" t="s">
        <v>2479</v>
      </c>
      <c r="B235" s="937">
        <v>44694</v>
      </c>
      <c r="C235" s="936">
        <v>2</v>
      </c>
      <c r="D235" s="936">
        <f t="shared" si="17"/>
        <v>16</v>
      </c>
      <c r="E235" s="936"/>
      <c r="F235" s="936">
        <f t="shared" si="18"/>
        <v>40</v>
      </c>
      <c r="G235" s="1035" t="s">
        <v>5168</v>
      </c>
      <c r="H235" s="939"/>
      <c r="I235" s="939" t="s">
        <v>2313</v>
      </c>
      <c r="J235" s="1752"/>
      <c r="K235" s="176"/>
      <c r="L235" s="5"/>
      <c r="M235" s="1199" t="s">
        <v>2538</v>
      </c>
      <c r="N235" s="3" t="s">
        <v>2527</v>
      </c>
      <c r="O235" s="939" t="s">
        <v>76</v>
      </c>
      <c r="P235" s="937">
        <v>44694</v>
      </c>
      <c r="Q235" s="937">
        <v>44694</v>
      </c>
      <c r="R235" s="1034" t="s">
        <v>4223</v>
      </c>
      <c r="S235" s="943"/>
      <c r="T235" s="1564"/>
      <c r="U235" s="936"/>
    </row>
    <row r="236" spans="1:21" ht="40.5" customHeight="1">
      <c r="A236" s="936" t="s">
        <v>2479</v>
      </c>
      <c r="B236" s="937">
        <v>44694</v>
      </c>
      <c r="C236" s="936">
        <v>2</v>
      </c>
      <c r="D236" s="936">
        <f t="shared" si="17"/>
        <v>16</v>
      </c>
      <c r="E236" s="936"/>
      <c r="F236" s="936">
        <f t="shared" si="18"/>
        <v>41</v>
      </c>
      <c r="G236" s="1035" t="s">
        <v>5169</v>
      </c>
      <c r="H236" s="939"/>
      <c r="I236" s="939" t="s">
        <v>2313</v>
      </c>
      <c r="J236" s="1752"/>
      <c r="K236" s="176"/>
      <c r="L236" s="5"/>
      <c r="M236" s="1199" t="s">
        <v>2538</v>
      </c>
      <c r="N236" s="3" t="s">
        <v>2527</v>
      </c>
      <c r="O236" s="939" t="s">
        <v>76</v>
      </c>
      <c r="P236" s="937">
        <v>44694</v>
      </c>
      <c r="Q236" s="937">
        <v>44694</v>
      </c>
      <c r="R236" s="1034" t="s">
        <v>4223</v>
      </c>
      <c r="S236" s="943"/>
      <c r="T236" s="1564"/>
      <c r="U236" s="936"/>
    </row>
    <row r="237" spans="1:21" ht="44.25" customHeight="1">
      <c r="A237" s="936" t="s">
        <v>2479</v>
      </c>
      <c r="B237" s="937">
        <v>44694</v>
      </c>
      <c r="C237" s="936">
        <v>2</v>
      </c>
      <c r="D237" s="936">
        <f t="shared" si="17"/>
        <v>16</v>
      </c>
      <c r="E237" s="936"/>
      <c r="F237" s="936">
        <f t="shared" si="18"/>
        <v>42</v>
      </c>
      <c r="G237" s="1035" t="s">
        <v>5170</v>
      </c>
      <c r="H237" s="939"/>
      <c r="I237" s="939" t="s">
        <v>2313</v>
      </c>
      <c r="J237" s="1752"/>
      <c r="K237" s="176"/>
      <c r="L237" s="5"/>
      <c r="M237" s="1199" t="s">
        <v>2538</v>
      </c>
      <c r="N237" s="3" t="s">
        <v>2527</v>
      </c>
      <c r="O237" s="939" t="s">
        <v>76</v>
      </c>
      <c r="P237" s="937">
        <v>44694</v>
      </c>
      <c r="Q237" s="937">
        <v>44694</v>
      </c>
      <c r="R237" s="1034" t="s">
        <v>4223</v>
      </c>
      <c r="S237" s="943"/>
      <c r="T237" s="1564"/>
      <c r="U237" s="936"/>
    </row>
    <row r="238" spans="1:21" ht="40.5" customHeight="1">
      <c r="A238" s="936" t="s">
        <v>2479</v>
      </c>
      <c r="B238" s="937">
        <v>44694</v>
      </c>
      <c r="C238" s="936">
        <v>2</v>
      </c>
      <c r="D238" s="936">
        <f t="shared" si="17"/>
        <v>16</v>
      </c>
      <c r="E238" s="936"/>
      <c r="F238" s="936">
        <f t="shared" si="18"/>
        <v>43</v>
      </c>
      <c r="G238" s="1035" t="s">
        <v>5171</v>
      </c>
      <c r="H238" s="939"/>
      <c r="I238" s="939" t="s">
        <v>2313</v>
      </c>
      <c r="J238" s="1752"/>
      <c r="K238" s="176"/>
      <c r="L238" s="5"/>
      <c r="M238" s="1199" t="s">
        <v>2538</v>
      </c>
      <c r="N238" s="3" t="s">
        <v>2527</v>
      </c>
      <c r="O238" s="939" t="s">
        <v>76</v>
      </c>
      <c r="P238" s="937">
        <v>44694</v>
      </c>
      <c r="Q238" s="937">
        <v>44694</v>
      </c>
      <c r="R238" s="1034" t="s">
        <v>4223</v>
      </c>
      <c r="S238" s="943"/>
      <c r="T238" s="1564"/>
      <c r="U238" s="936"/>
    </row>
    <row r="239" spans="1:21" ht="40.5" customHeight="1">
      <c r="A239" s="936" t="s">
        <v>2479</v>
      </c>
      <c r="B239" s="937">
        <v>44694</v>
      </c>
      <c r="C239" s="936">
        <v>2</v>
      </c>
      <c r="D239" s="936">
        <f t="shared" si="17"/>
        <v>16</v>
      </c>
      <c r="E239" s="936"/>
      <c r="F239" s="936">
        <f t="shared" si="18"/>
        <v>44</v>
      </c>
      <c r="G239" s="1035" t="s">
        <v>5172</v>
      </c>
      <c r="H239" s="939"/>
      <c r="I239" s="939" t="s">
        <v>2313</v>
      </c>
      <c r="J239" s="1752"/>
      <c r="K239" s="176"/>
      <c r="L239" s="5"/>
      <c r="M239" s="1199" t="s">
        <v>2538</v>
      </c>
      <c r="N239" s="3" t="s">
        <v>2527</v>
      </c>
      <c r="O239" s="939" t="s">
        <v>76</v>
      </c>
      <c r="P239" s="937">
        <v>44694</v>
      </c>
      <c r="Q239" s="937">
        <v>44694</v>
      </c>
      <c r="R239" s="1034" t="s">
        <v>4223</v>
      </c>
      <c r="S239" s="943"/>
      <c r="T239" s="1564"/>
      <c r="U239" s="936"/>
    </row>
    <row r="240" spans="1:21" ht="40.5" customHeight="1">
      <c r="A240" s="936" t="s">
        <v>2479</v>
      </c>
      <c r="B240" s="937">
        <v>44694</v>
      </c>
      <c r="C240" s="936">
        <v>2</v>
      </c>
      <c r="D240" s="936">
        <f t="shared" si="17"/>
        <v>16</v>
      </c>
      <c r="E240" s="936"/>
      <c r="F240" s="936">
        <f t="shared" si="18"/>
        <v>45</v>
      </c>
      <c r="G240" s="1035" t="s">
        <v>5173</v>
      </c>
      <c r="H240" s="939"/>
      <c r="I240" s="939" t="s">
        <v>2313</v>
      </c>
      <c r="J240" s="1752"/>
      <c r="K240" s="176"/>
      <c r="L240" s="5"/>
      <c r="M240" s="1199" t="s">
        <v>2589</v>
      </c>
      <c r="N240" s="3" t="s">
        <v>2527</v>
      </c>
      <c r="O240" s="939" t="s">
        <v>76</v>
      </c>
      <c r="P240" s="937">
        <v>44694</v>
      </c>
      <c r="Q240" s="937">
        <v>44694</v>
      </c>
      <c r="R240" s="1034" t="s">
        <v>4223</v>
      </c>
      <c r="S240" s="943"/>
      <c r="T240" s="1564"/>
      <c r="U240" s="936"/>
    </row>
    <row r="241" spans="1:21" ht="48.75" customHeight="1">
      <c r="A241" s="936" t="s">
        <v>2479</v>
      </c>
      <c r="B241" s="937">
        <v>44854</v>
      </c>
      <c r="C241" s="936">
        <v>3</v>
      </c>
      <c r="D241" s="936">
        <f t="shared" si="17"/>
        <v>16</v>
      </c>
      <c r="E241" s="511" t="s">
        <v>4356</v>
      </c>
      <c r="F241" s="936">
        <f t="shared" si="18"/>
        <v>46</v>
      </c>
      <c r="G241" s="1035" t="s">
        <v>5361</v>
      </c>
      <c r="H241" s="939"/>
      <c r="I241" s="939" t="s">
        <v>550</v>
      </c>
      <c r="J241" s="1752" t="s">
        <v>5791</v>
      </c>
      <c r="K241" s="176">
        <v>44770</v>
      </c>
      <c r="L241" s="177">
        <v>44814</v>
      </c>
      <c r="M241" s="1199" t="s">
        <v>2482</v>
      </c>
      <c r="N241" s="3" t="s">
        <v>1975</v>
      </c>
      <c r="O241" s="939" t="s">
        <v>165</v>
      </c>
      <c r="P241" s="937">
        <v>44854</v>
      </c>
      <c r="Q241" s="937">
        <v>44854</v>
      </c>
      <c r="R241" s="1034" t="s">
        <v>4223</v>
      </c>
      <c r="S241" s="943"/>
      <c r="T241" s="1747"/>
      <c r="U241" s="936"/>
    </row>
    <row r="242" spans="1:21" ht="58.5" customHeight="1">
      <c r="A242" s="936" t="s">
        <v>2479</v>
      </c>
      <c r="B242" s="937">
        <v>44694</v>
      </c>
      <c r="C242" s="936">
        <v>2</v>
      </c>
      <c r="D242" s="936">
        <f t="shared" si="17"/>
        <v>16</v>
      </c>
      <c r="E242" s="944" t="s">
        <v>4520</v>
      </c>
      <c r="F242" s="936">
        <f t="shared" si="18"/>
        <v>47</v>
      </c>
      <c r="G242" s="1035" t="s">
        <v>5175</v>
      </c>
      <c r="H242" s="939"/>
      <c r="I242" s="939" t="s">
        <v>550</v>
      </c>
      <c r="J242" s="1752" t="s">
        <v>5790</v>
      </c>
      <c r="K242" s="176">
        <v>44862</v>
      </c>
      <c r="L242" s="5">
        <v>44898</v>
      </c>
      <c r="M242" s="1199" t="s">
        <v>4824</v>
      </c>
      <c r="N242" s="3" t="s">
        <v>5182</v>
      </c>
      <c r="O242" s="939" t="s">
        <v>76</v>
      </c>
      <c r="P242" s="937">
        <v>44694</v>
      </c>
      <c r="Q242" s="937">
        <v>44694</v>
      </c>
      <c r="R242" s="1034" t="s">
        <v>4223</v>
      </c>
      <c r="S242" s="943"/>
      <c r="T242" s="1747"/>
      <c r="U242" s="936"/>
    </row>
    <row r="243" spans="1:21" ht="63" customHeight="1">
      <c r="A243" s="936" t="s">
        <v>2479</v>
      </c>
      <c r="B243" s="937">
        <v>44694</v>
      </c>
      <c r="C243" s="936">
        <v>2</v>
      </c>
      <c r="D243" s="936">
        <f t="shared" si="17"/>
        <v>16</v>
      </c>
      <c r="E243" s="944" t="s">
        <v>4520</v>
      </c>
      <c r="F243" s="936">
        <f t="shared" si="18"/>
        <v>48</v>
      </c>
      <c r="G243" s="1035" t="s">
        <v>5176</v>
      </c>
      <c r="H243" s="939"/>
      <c r="I243" s="939" t="s">
        <v>550</v>
      </c>
      <c r="J243" s="1752" t="s">
        <v>5790</v>
      </c>
      <c r="K243" s="176">
        <v>44862</v>
      </c>
      <c r="L243" s="5">
        <v>44898</v>
      </c>
      <c r="M243" s="1199" t="s">
        <v>4824</v>
      </c>
      <c r="N243" s="3" t="s">
        <v>5182</v>
      </c>
      <c r="O243" s="939" t="s">
        <v>76</v>
      </c>
      <c r="P243" s="937">
        <v>44694</v>
      </c>
      <c r="Q243" s="937">
        <v>44694</v>
      </c>
      <c r="R243" s="1034" t="s">
        <v>4223</v>
      </c>
      <c r="S243" s="943"/>
      <c r="T243" s="1747"/>
      <c r="U243" s="936"/>
    </row>
    <row r="244" spans="1:21" ht="62.25" customHeight="1">
      <c r="A244" s="936" t="s">
        <v>2479</v>
      </c>
      <c r="B244" s="937">
        <v>44694</v>
      </c>
      <c r="C244" s="936">
        <v>2</v>
      </c>
      <c r="D244" s="936">
        <f t="shared" si="17"/>
        <v>16</v>
      </c>
      <c r="E244" s="944" t="s">
        <v>4520</v>
      </c>
      <c r="F244" s="936">
        <f t="shared" si="18"/>
        <v>49</v>
      </c>
      <c r="G244" s="1035" t="s">
        <v>5177</v>
      </c>
      <c r="H244" s="939"/>
      <c r="I244" s="939" t="s">
        <v>550</v>
      </c>
      <c r="J244" s="1752" t="s">
        <v>5790</v>
      </c>
      <c r="K244" s="176">
        <v>44862</v>
      </c>
      <c r="L244" s="5">
        <v>44898</v>
      </c>
      <c r="M244" s="1199" t="s">
        <v>4824</v>
      </c>
      <c r="N244" s="3" t="s">
        <v>5182</v>
      </c>
      <c r="O244" s="939" t="s">
        <v>76</v>
      </c>
      <c r="P244" s="937">
        <v>44694</v>
      </c>
      <c r="Q244" s="937">
        <v>44694</v>
      </c>
      <c r="R244" s="1034" t="s">
        <v>4223</v>
      </c>
      <c r="S244" s="943"/>
      <c r="T244" s="1747"/>
      <c r="U244" s="936"/>
    </row>
    <row r="245" spans="1:21" ht="40.5" customHeight="1">
      <c r="A245" s="936" t="s">
        <v>2479</v>
      </c>
      <c r="B245" s="937">
        <v>44694</v>
      </c>
      <c r="C245" s="936">
        <v>2</v>
      </c>
      <c r="D245" s="936">
        <f t="shared" si="17"/>
        <v>16</v>
      </c>
      <c r="E245" s="936"/>
      <c r="F245" s="936">
        <f t="shared" si="18"/>
        <v>50</v>
      </c>
      <c r="G245" s="1035" t="s">
        <v>5178</v>
      </c>
      <c r="H245" s="939"/>
      <c r="I245" s="939" t="s">
        <v>2313</v>
      </c>
      <c r="J245" s="1752"/>
      <c r="K245" s="176"/>
      <c r="L245" s="5"/>
      <c r="M245" s="1199" t="s">
        <v>5330</v>
      </c>
      <c r="N245" s="3" t="s">
        <v>1976</v>
      </c>
      <c r="O245" s="939" t="s">
        <v>76</v>
      </c>
      <c r="P245" s="937">
        <v>44694</v>
      </c>
      <c r="Q245" s="937">
        <v>44694</v>
      </c>
      <c r="R245" s="1034" t="s">
        <v>4223</v>
      </c>
      <c r="S245" s="943"/>
      <c r="T245" s="1564"/>
      <c r="U245" s="936"/>
    </row>
    <row r="246" spans="1:21" ht="62.25" customHeight="1">
      <c r="A246" s="936" t="s">
        <v>2479</v>
      </c>
      <c r="B246" s="937">
        <v>44694</v>
      </c>
      <c r="C246" s="936">
        <v>2</v>
      </c>
      <c r="D246" s="936">
        <f t="shared" si="17"/>
        <v>16</v>
      </c>
      <c r="E246" s="945" t="s">
        <v>4349</v>
      </c>
      <c r="F246" s="936">
        <f t="shared" si="18"/>
        <v>51</v>
      </c>
      <c r="G246" s="1035" t="s">
        <v>5179</v>
      </c>
      <c r="H246" s="939"/>
      <c r="I246" s="939" t="s">
        <v>550</v>
      </c>
      <c r="J246" s="1752" t="s">
        <v>5791</v>
      </c>
      <c r="K246" s="176">
        <v>44692</v>
      </c>
      <c r="L246" s="177">
        <v>44765</v>
      </c>
      <c r="M246" s="1199" t="s">
        <v>2717</v>
      </c>
      <c r="N246" s="3" t="s">
        <v>1976</v>
      </c>
      <c r="O246" s="939" t="s">
        <v>76</v>
      </c>
      <c r="P246" s="937">
        <v>44694</v>
      </c>
      <c r="Q246" s="937">
        <v>44694</v>
      </c>
      <c r="R246" s="1034" t="s">
        <v>4223</v>
      </c>
      <c r="S246" s="943"/>
      <c r="T246" s="1747"/>
      <c r="U246" s="936"/>
    </row>
    <row r="247" spans="1:21" ht="40.5" customHeight="1">
      <c r="A247" s="936" t="s">
        <v>2479</v>
      </c>
      <c r="B247" s="937">
        <v>44694</v>
      </c>
      <c r="C247" s="936">
        <v>2</v>
      </c>
      <c r="D247" s="936">
        <f t="shared" si="17"/>
        <v>16</v>
      </c>
      <c r="E247" s="944" t="s">
        <v>4521</v>
      </c>
      <c r="F247" s="936">
        <f t="shared" si="18"/>
        <v>52</v>
      </c>
      <c r="G247" s="1035" t="s">
        <v>5180</v>
      </c>
      <c r="H247" s="939"/>
      <c r="I247" s="939" t="s">
        <v>550</v>
      </c>
      <c r="J247" s="1752" t="s">
        <v>5790</v>
      </c>
      <c r="K247" s="176">
        <v>44847</v>
      </c>
      <c r="L247" s="5">
        <v>44895</v>
      </c>
      <c r="M247" s="1199" t="s">
        <v>4825</v>
      </c>
      <c r="N247" s="3" t="s">
        <v>2527</v>
      </c>
      <c r="O247" s="939" t="s">
        <v>76</v>
      </c>
      <c r="P247" s="937">
        <v>44694</v>
      </c>
      <c r="Q247" s="937">
        <v>44694</v>
      </c>
      <c r="R247" s="1034" t="s">
        <v>4223</v>
      </c>
      <c r="S247" s="943"/>
      <c r="T247" s="1747"/>
      <c r="U247" s="936"/>
    </row>
    <row r="248" spans="1:21" ht="57.75" customHeight="1">
      <c r="A248" s="936" t="s">
        <v>2479</v>
      </c>
      <c r="B248" s="937">
        <v>44694</v>
      </c>
      <c r="C248" s="936">
        <v>2</v>
      </c>
      <c r="D248" s="936">
        <f t="shared" si="17"/>
        <v>16</v>
      </c>
      <c r="E248" s="936"/>
      <c r="F248" s="936">
        <f t="shared" si="18"/>
        <v>53</v>
      </c>
      <c r="G248" s="1035" t="s">
        <v>5181</v>
      </c>
      <c r="H248" s="939"/>
      <c r="I248" s="939" t="s">
        <v>2313</v>
      </c>
      <c r="J248" s="1752"/>
      <c r="K248" s="176"/>
      <c r="L248" s="5"/>
      <c r="M248" s="1199" t="s">
        <v>3423</v>
      </c>
      <c r="N248" s="3" t="s">
        <v>1975</v>
      </c>
      <c r="O248" s="939" t="s">
        <v>76</v>
      </c>
      <c r="P248" s="937">
        <v>44694</v>
      </c>
      <c r="Q248" s="937">
        <v>44694</v>
      </c>
      <c r="R248" s="1034" t="s">
        <v>4223</v>
      </c>
      <c r="S248" s="943"/>
      <c r="T248" s="1564"/>
      <c r="U248" s="936"/>
    </row>
    <row r="249" spans="1:21" ht="52.5" customHeight="1">
      <c r="A249" s="936" t="s">
        <v>2479</v>
      </c>
      <c r="B249" s="937">
        <v>44694</v>
      </c>
      <c r="C249" s="936">
        <v>2</v>
      </c>
      <c r="D249" s="936">
        <v>17</v>
      </c>
      <c r="E249" s="936"/>
      <c r="F249" s="936">
        <f t="shared" si="18"/>
        <v>54</v>
      </c>
      <c r="G249" s="1035" t="s">
        <v>5183</v>
      </c>
      <c r="H249" s="939"/>
      <c r="I249" s="939" t="s">
        <v>2313</v>
      </c>
      <c r="J249" s="1752"/>
      <c r="K249" s="176"/>
      <c r="L249" s="5"/>
      <c r="M249" s="1199" t="s">
        <v>2566</v>
      </c>
      <c r="N249" s="3" t="s">
        <v>1975</v>
      </c>
      <c r="O249" s="939" t="s">
        <v>76</v>
      </c>
      <c r="P249" s="937">
        <v>44694</v>
      </c>
      <c r="Q249" s="937">
        <v>44694</v>
      </c>
      <c r="R249" s="1034" t="s">
        <v>4223</v>
      </c>
      <c r="S249" s="943"/>
      <c r="T249" s="1564"/>
      <c r="U249" s="936"/>
    </row>
    <row r="250" spans="1:21" ht="52.5" customHeight="1">
      <c r="A250" s="936" t="s">
        <v>2479</v>
      </c>
      <c r="B250" s="937">
        <v>44694</v>
      </c>
      <c r="C250" s="936">
        <v>2</v>
      </c>
      <c r="D250" s="936">
        <f t="shared" ref="D250:D277" si="19">D249</f>
        <v>17</v>
      </c>
      <c r="E250" s="936"/>
      <c r="F250" s="936">
        <f t="shared" si="18"/>
        <v>55</v>
      </c>
      <c r="G250" s="1035" t="s">
        <v>5184</v>
      </c>
      <c r="H250" s="939"/>
      <c r="I250" s="939" t="s">
        <v>2313</v>
      </c>
      <c r="J250" s="1752"/>
      <c r="K250" s="176"/>
      <c r="L250" s="5"/>
      <c r="M250" s="1199" t="s">
        <v>4690</v>
      </c>
      <c r="N250" s="3" t="s">
        <v>1975</v>
      </c>
      <c r="O250" s="939" t="s">
        <v>76</v>
      </c>
      <c r="P250" s="937">
        <v>44694</v>
      </c>
      <c r="Q250" s="937">
        <v>44694</v>
      </c>
      <c r="R250" s="1034" t="s">
        <v>4223</v>
      </c>
      <c r="S250" s="943"/>
      <c r="T250" s="1564"/>
      <c r="U250" s="936"/>
    </row>
    <row r="251" spans="1:21" ht="56.25" customHeight="1">
      <c r="A251" s="936" t="s">
        <v>2479</v>
      </c>
      <c r="B251" s="937">
        <v>44694</v>
      </c>
      <c r="C251" s="936">
        <v>2</v>
      </c>
      <c r="D251" s="936">
        <f t="shared" si="19"/>
        <v>17</v>
      </c>
      <c r="E251" s="936"/>
      <c r="F251" s="936">
        <f t="shared" si="18"/>
        <v>56</v>
      </c>
      <c r="G251" s="1035" t="s">
        <v>5185</v>
      </c>
      <c r="H251" s="939"/>
      <c r="I251" s="939" t="s">
        <v>2313</v>
      </c>
      <c r="J251" s="1752"/>
      <c r="K251" s="176"/>
      <c r="L251" s="5"/>
      <c r="M251" s="1199" t="s">
        <v>2690</v>
      </c>
      <c r="N251" s="3" t="s">
        <v>1975</v>
      </c>
      <c r="O251" s="939" t="s">
        <v>76</v>
      </c>
      <c r="P251" s="937">
        <v>44694</v>
      </c>
      <c r="Q251" s="937">
        <v>44694</v>
      </c>
      <c r="R251" s="1034" t="s">
        <v>4223</v>
      </c>
      <c r="S251" s="943"/>
      <c r="T251" s="1564"/>
      <c r="U251" s="936"/>
    </row>
    <row r="252" spans="1:21" ht="48.75" customHeight="1">
      <c r="A252" s="936" t="s">
        <v>2479</v>
      </c>
      <c r="B252" s="937">
        <v>44694</v>
      </c>
      <c r="C252" s="936">
        <v>2</v>
      </c>
      <c r="D252" s="936">
        <f t="shared" si="19"/>
        <v>17</v>
      </c>
      <c r="E252" s="936"/>
      <c r="F252" s="936">
        <f t="shared" si="18"/>
        <v>57</v>
      </c>
      <c r="G252" s="1035" t="s">
        <v>5186</v>
      </c>
      <c r="H252" s="939"/>
      <c r="I252" s="939" t="s">
        <v>2313</v>
      </c>
      <c r="J252" s="1752"/>
      <c r="K252" s="176"/>
      <c r="L252" s="5"/>
      <c r="M252" s="1199" t="s">
        <v>2690</v>
      </c>
      <c r="N252" s="3" t="s">
        <v>1975</v>
      </c>
      <c r="O252" s="939" t="s">
        <v>76</v>
      </c>
      <c r="P252" s="937">
        <v>44694</v>
      </c>
      <c r="Q252" s="937">
        <v>44694</v>
      </c>
      <c r="R252" s="1034" t="s">
        <v>4223</v>
      </c>
      <c r="S252" s="943"/>
      <c r="T252" s="1564"/>
      <c r="U252" s="936"/>
    </row>
    <row r="253" spans="1:21" ht="40.5" customHeight="1">
      <c r="A253" s="936" t="s">
        <v>2479</v>
      </c>
      <c r="B253" s="937">
        <v>44694</v>
      </c>
      <c r="C253" s="936">
        <v>2</v>
      </c>
      <c r="D253" s="936">
        <f t="shared" si="19"/>
        <v>17</v>
      </c>
      <c r="E253" s="936"/>
      <c r="F253" s="936">
        <f t="shared" si="18"/>
        <v>58</v>
      </c>
      <c r="G253" s="1035" t="s">
        <v>5187</v>
      </c>
      <c r="H253" s="939"/>
      <c r="I253" s="939" t="s">
        <v>2313</v>
      </c>
      <c r="J253" s="1752"/>
      <c r="K253" s="176"/>
      <c r="L253" s="5"/>
      <c r="M253" s="1199" t="s">
        <v>4707</v>
      </c>
      <c r="N253" s="3" t="s">
        <v>1975</v>
      </c>
      <c r="O253" s="939" t="s">
        <v>76</v>
      </c>
      <c r="P253" s="937">
        <v>44694</v>
      </c>
      <c r="Q253" s="937">
        <v>44694</v>
      </c>
      <c r="R253" s="1034" t="s">
        <v>4223</v>
      </c>
      <c r="S253" s="943"/>
      <c r="T253" s="1564"/>
      <c r="U253" s="936"/>
    </row>
    <row r="254" spans="1:21" ht="40.5" customHeight="1">
      <c r="A254" s="936" t="s">
        <v>2479</v>
      </c>
      <c r="B254" s="937">
        <v>44694</v>
      </c>
      <c r="C254" s="936">
        <v>2</v>
      </c>
      <c r="D254" s="936">
        <f t="shared" si="19"/>
        <v>17</v>
      </c>
      <c r="E254" s="936"/>
      <c r="F254" s="936">
        <f t="shared" si="18"/>
        <v>59</v>
      </c>
      <c r="G254" s="1035" t="s">
        <v>5188</v>
      </c>
      <c r="H254" s="939"/>
      <c r="I254" s="939" t="s">
        <v>2313</v>
      </c>
      <c r="J254" s="1752"/>
      <c r="K254" s="176"/>
      <c r="L254" s="5"/>
      <c r="M254" s="1199" t="s">
        <v>5331</v>
      </c>
      <c r="N254" s="3" t="s">
        <v>1975</v>
      </c>
      <c r="O254" s="939" t="s">
        <v>76</v>
      </c>
      <c r="P254" s="937">
        <v>44694</v>
      </c>
      <c r="Q254" s="937">
        <v>44694</v>
      </c>
      <c r="R254" s="1034" t="s">
        <v>4223</v>
      </c>
      <c r="S254" s="943"/>
      <c r="T254" s="1564"/>
      <c r="U254" s="936"/>
    </row>
    <row r="255" spans="1:21" ht="40.5" customHeight="1">
      <c r="A255" s="936" t="s">
        <v>2479</v>
      </c>
      <c r="B255" s="937">
        <v>44694</v>
      </c>
      <c r="C255" s="936">
        <v>2</v>
      </c>
      <c r="D255" s="936">
        <f t="shared" si="19"/>
        <v>17</v>
      </c>
      <c r="E255" s="936"/>
      <c r="F255" s="936">
        <f t="shared" si="18"/>
        <v>60</v>
      </c>
      <c r="G255" s="1035" t="s">
        <v>5189</v>
      </c>
      <c r="H255" s="939"/>
      <c r="I255" s="939" t="s">
        <v>2313</v>
      </c>
      <c r="J255" s="1752"/>
      <c r="K255" s="176"/>
      <c r="L255" s="5"/>
      <c r="M255" s="1199" t="s">
        <v>4773</v>
      </c>
      <c r="N255" s="3" t="s">
        <v>1975</v>
      </c>
      <c r="O255" s="939" t="s">
        <v>76</v>
      </c>
      <c r="P255" s="937">
        <v>44694</v>
      </c>
      <c r="Q255" s="937">
        <v>44694</v>
      </c>
      <c r="R255" s="1034" t="s">
        <v>4223</v>
      </c>
      <c r="S255" s="943"/>
      <c r="T255" s="1564"/>
      <c r="U255" s="936"/>
    </row>
    <row r="256" spans="1:21" ht="40.5" customHeight="1">
      <c r="A256" s="936" t="s">
        <v>2479</v>
      </c>
      <c r="B256" s="937">
        <v>44909</v>
      </c>
      <c r="C256" s="936">
        <v>4</v>
      </c>
      <c r="D256" s="936">
        <f t="shared" si="19"/>
        <v>17</v>
      </c>
      <c r="E256" s="511"/>
      <c r="F256" s="936">
        <f t="shared" si="18"/>
        <v>61</v>
      </c>
      <c r="G256" s="1035" t="s">
        <v>5108</v>
      </c>
      <c r="H256" s="939"/>
      <c r="I256" s="939"/>
      <c r="J256" s="1752"/>
      <c r="K256" s="176"/>
      <c r="L256" s="5"/>
      <c r="M256" s="1199" t="s">
        <v>5326</v>
      </c>
      <c r="N256" s="3" t="s">
        <v>1975</v>
      </c>
      <c r="O256" s="939" t="s">
        <v>5683</v>
      </c>
      <c r="P256" s="937">
        <v>44909</v>
      </c>
      <c r="Q256" s="937">
        <v>44909</v>
      </c>
      <c r="R256" s="1034" t="s">
        <v>4223</v>
      </c>
      <c r="S256" s="943"/>
      <c r="T256" s="1747"/>
      <c r="U256" s="936"/>
    </row>
    <row r="257" spans="1:21" ht="40.5" customHeight="1">
      <c r="A257" s="936" t="s">
        <v>2479</v>
      </c>
      <c r="B257" s="937">
        <v>44694</v>
      </c>
      <c r="C257" s="936">
        <v>2</v>
      </c>
      <c r="D257" s="936">
        <f t="shared" si="19"/>
        <v>17</v>
      </c>
      <c r="E257" s="936"/>
      <c r="F257" s="936">
        <f t="shared" si="18"/>
        <v>62</v>
      </c>
      <c r="G257" s="1035" t="s">
        <v>5191</v>
      </c>
      <c r="H257" s="939"/>
      <c r="I257" s="939" t="s">
        <v>2313</v>
      </c>
      <c r="J257" s="1752"/>
      <c r="K257" s="176"/>
      <c r="L257" s="5"/>
      <c r="M257" s="1199" t="s">
        <v>2609</v>
      </c>
      <c r="N257" s="3" t="s">
        <v>2607</v>
      </c>
      <c r="O257" s="939" t="s">
        <v>76</v>
      </c>
      <c r="P257" s="937">
        <v>44694</v>
      </c>
      <c r="Q257" s="937">
        <v>44694</v>
      </c>
      <c r="R257" s="1034" t="s">
        <v>4223</v>
      </c>
      <c r="S257" s="943"/>
      <c r="T257" s="1564"/>
      <c r="U257" s="936"/>
    </row>
    <row r="258" spans="1:21" ht="40.5" customHeight="1">
      <c r="A258" s="936" t="s">
        <v>2479</v>
      </c>
      <c r="B258" s="937">
        <v>44694</v>
      </c>
      <c r="C258" s="936">
        <v>2</v>
      </c>
      <c r="D258" s="936">
        <f t="shared" si="19"/>
        <v>17</v>
      </c>
      <c r="E258" s="936"/>
      <c r="F258" s="936">
        <f t="shared" si="18"/>
        <v>63</v>
      </c>
      <c r="G258" s="1035" t="s">
        <v>5192</v>
      </c>
      <c r="H258" s="939"/>
      <c r="I258" s="939" t="s">
        <v>2313</v>
      </c>
      <c r="J258" s="1752"/>
      <c r="K258" s="176"/>
      <c r="L258" s="5"/>
      <c r="M258" s="1199" t="s">
        <v>2639</v>
      </c>
      <c r="N258" s="3" t="s">
        <v>2607</v>
      </c>
      <c r="O258" s="939" t="s">
        <v>76</v>
      </c>
      <c r="P258" s="937">
        <v>44694</v>
      </c>
      <c r="Q258" s="937">
        <v>44694</v>
      </c>
      <c r="R258" s="1034" t="s">
        <v>4223</v>
      </c>
      <c r="S258" s="943"/>
      <c r="T258" s="1564"/>
      <c r="U258" s="936"/>
    </row>
    <row r="259" spans="1:21" ht="56.25" customHeight="1">
      <c r="A259" s="936" t="s">
        <v>2479</v>
      </c>
      <c r="B259" s="937">
        <v>44694</v>
      </c>
      <c r="C259" s="936">
        <v>2</v>
      </c>
      <c r="D259" s="936">
        <f t="shared" si="19"/>
        <v>17</v>
      </c>
      <c r="E259" s="936"/>
      <c r="F259" s="936">
        <f t="shared" si="18"/>
        <v>64</v>
      </c>
      <c r="G259" s="1035" t="s">
        <v>5193</v>
      </c>
      <c r="H259" s="939"/>
      <c r="I259" s="939" t="s">
        <v>2313</v>
      </c>
      <c r="J259" s="1752"/>
      <c r="K259" s="176"/>
      <c r="L259" s="5"/>
      <c r="M259" s="1199" t="s">
        <v>5322</v>
      </c>
      <c r="N259" s="3" t="s">
        <v>1975</v>
      </c>
      <c r="O259" s="939" t="s">
        <v>76</v>
      </c>
      <c r="P259" s="937">
        <v>44694</v>
      </c>
      <c r="Q259" s="937">
        <v>44694</v>
      </c>
      <c r="R259" s="1034" t="s">
        <v>4223</v>
      </c>
      <c r="S259" s="943"/>
      <c r="T259" s="1564"/>
      <c r="U259" s="936"/>
    </row>
    <row r="260" spans="1:21" ht="56.25" customHeight="1">
      <c r="A260" s="936" t="s">
        <v>2479</v>
      </c>
      <c r="B260" s="937">
        <v>44694</v>
      </c>
      <c r="C260" s="936">
        <v>2</v>
      </c>
      <c r="D260" s="936">
        <f t="shared" si="19"/>
        <v>17</v>
      </c>
      <c r="E260" s="936"/>
      <c r="F260" s="936">
        <f t="shared" si="18"/>
        <v>65</v>
      </c>
      <c r="G260" s="1035" t="s">
        <v>5194</v>
      </c>
      <c r="H260" s="939"/>
      <c r="I260" s="939" t="s">
        <v>2313</v>
      </c>
      <c r="J260" s="1752"/>
      <c r="K260" s="176"/>
      <c r="L260" s="5"/>
      <c r="M260" s="1199" t="s">
        <v>5322</v>
      </c>
      <c r="N260" s="3" t="s">
        <v>1975</v>
      </c>
      <c r="O260" s="939" t="s">
        <v>76</v>
      </c>
      <c r="P260" s="937">
        <v>44694</v>
      </c>
      <c r="Q260" s="937">
        <v>44694</v>
      </c>
      <c r="R260" s="1034" t="s">
        <v>4223</v>
      </c>
      <c r="S260" s="943"/>
      <c r="T260" s="1564"/>
      <c r="U260" s="936"/>
    </row>
    <row r="261" spans="1:21" ht="57.75" customHeight="1">
      <c r="A261" s="936" t="s">
        <v>2479</v>
      </c>
      <c r="B261" s="937">
        <v>44694</v>
      </c>
      <c r="C261" s="936">
        <v>2</v>
      </c>
      <c r="D261" s="936">
        <f t="shared" si="19"/>
        <v>17</v>
      </c>
      <c r="E261" s="936"/>
      <c r="F261" s="936">
        <f t="shared" ref="F261:F278" si="20">F260+1</f>
        <v>66</v>
      </c>
      <c r="G261" s="1035" t="s">
        <v>5195</v>
      </c>
      <c r="H261" s="939"/>
      <c r="I261" s="939" t="s">
        <v>2313</v>
      </c>
      <c r="J261" s="1752"/>
      <c r="K261" s="176"/>
      <c r="L261" s="5"/>
      <c r="M261" s="1199" t="s">
        <v>5322</v>
      </c>
      <c r="N261" s="3" t="s">
        <v>1975</v>
      </c>
      <c r="O261" s="939" t="s">
        <v>76</v>
      </c>
      <c r="P261" s="937">
        <v>44694</v>
      </c>
      <c r="Q261" s="937">
        <v>44694</v>
      </c>
      <c r="R261" s="1034" t="s">
        <v>4223</v>
      </c>
      <c r="S261" s="943"/>
      <c r="T261" s="1564"/>
      <c r="U261" s="936"/>
    </row>
    <row r="262" spans="1:21" ht="40.5" customHeight="1">
      <c r="A262" s="936" t="s">
        <v>2479</v>
      </c>
      <c r="B262" s="937">
        <v>44854</v>
      </c>
      <c r="C262" s="936">
        <v>3</v>
      </c>
      <c r="D262" s="936">
        <f t="shared" si="19"/>
        <v>17</v>
      </c>
      <c r="E262" s="511"/>
      <c r="F262" s="936">
        <f t="shared" si="20"/>
        <v>67</v>
      </c>
      <c r="G262" s="1035" t="s">
        <v>5360</v>
      </c>
      <c r="H262" s="939"/>
      <c r="I262" s="939"/>
      <c r="J262" s="1752"/>
      <c r="K262" s="176"/>
      <c r="L262" s="5"/>
      <c r="M262" s="1199" t="s">
        <v>5326</v>
      </c>
      <c r="N262" s="3" t="s">
        <v>1975</v>
      </c>
      <c r="O262" s="939" t="s">
        <v>165</v>
      </c>
      <c r="P262" s="937">
        <v>44854</v>
      </c>
      <c r="Q262" s="937">
        <v>44854</v>
      </c>
      <c r="R262" s="1034" t="s">
        <v>4223</v>
      </c>
      <c r="S262" s="943"/>
      <c r="T262" s="1747"/>
      <c r="U262" s="936"/>
    </row>
    <row r="263" spans="1:21" ht="40.5" customHeight="1">
      <c r="A263" s="936" t="s">
        <v>2479</v>
      </c>
      <c r="B263" s="937">
        <v>44694</v>
      </c>
      <c r="C263" s="936">
        <v>2</v>
      </c>
      <c r="D263" s="936">
        <f t="shared" si="19"/>
        <v>17</v>
      </c>
      <c r="E263" s="945" t="s">
        <v>4054</v>
      </c>
      <c r="F263" s="936">
        <f t="shared" si="20"/>
        <v>68</v>
      </c>
      <c r="G263" s="1035" t="s">
        <v>5197</v>
      </c>
      <c r="H263" s="939"/>
      <c r="I263" s="939" t="s">
        <v>550</v>
      </c>
      <c r="J263" s="1752" t="s">
        <v>5792</v>
      </c>
      <c r="K263" s="176">
        <v>44438</v>
      </c>
      <c r="L263" s="5">
        <v>44492</v>
      </c>
      <c r="M263" s="1199" t="s">
        <v>4713</v>
      </c>
      <c r="N263" s="3" t="s">
        <v>2580</v>
      </c>
      <c r="O263" s="939" t="s">
        <v>5051</v>
      </c>
      <c r="P263" s="937">
        <v>44694</v>
      </c>
      <c r="Q263" s="937">
        <v>44694</v>
      </c>
      <c r="R263" s="1034" t="s">
        <v>4223</v>
      </c>
      <c r="S263" s="943"/>
      <c r="T263" s="1747"/>
      <c r="U263" s="936"/>
    </row>
    <row r="264" spans="1:21" ht="58.5" customHeight="1">
      <c r="A264" s="936" t="s">
        <v>2479</v>
      </c>
      <c r="B264" s="937">
        <v>44694</v>
      </c>
      <c r="C264" s="936">
        <v>2</v>
      </c>
      <c r="D264" s="936">
        <f t="shared" si="19"/>
        <v>17</v>
      </c>
      <c r="E264" s="936"/>
      <c r="F264" s="936">
        <f t="shared" si="20"/>
        <v>69</v>
      </c>
      <c r="G264" s="1035" t="s">
        <v>5198</v>
      </c>
      <c r="H264" s="939"/>
      <c r="I264" s="939" t="s">
        <v>2313</v>
      </c>
      <c r="J264" s="1752"/>
      <c r="K264" s="176"/>
      <c r="L264" s="5"/>
      <c r="M264" s="1199" t="s">
        <v>3149</v>
      </c>
      <c r="N264" s="3" t="s">
        <v>2666</v>
      </c>
      <c r="O264" s="939" t="s">
        <v>5051</v>
      </c>
      <c r="P264" s="937">
        <v>44694</v>
      </c>
      <c r="Q264" s="937">
        <v>44694</v>
      </c>
      <c r="R264" s="1034" t="s">
        <v>4223</v>
      </c>
      <c r="S264" s="943"/>
      <c r="T264" s="1564"/>
      <c r="U264" s="936"/>
    </row>
    <row r="265" spans="1:21" ht="40.5" customHeight="1">
      <c r="A265" s="936" t="s">
        <v>2479</v>
      </c>
      <c r="B265" s="937">
        <v>44694</v>
      </c>
      <c r="C265" s="936">
        <v>2</v>
      </c>
      <c r="D265" s="936">
        <f t="shared" si="19"/>
        <v>17</v>
      </c>
      <c r="E265" s="936"/>
      <c r="F265" s="936">
        <f t="shared" si="20"/>
        <v>70</v>
      </c>
      <c r="G265" s="1035" t="s">
        <v>5199</v>
      </c>
      <c r="H265" s="939"/>
      <c r="I265" s="939" t="s">
        <v>2313</v>
      </c>
      <c r="J265" s="1752"/>
      <c r="K265" s="176"/>
      <c r="L265" s="5"/>
      <c r="M265" s="1199" t="s">
        <v>3423</v>
      </c>
      <c r="N265" s="3" t="s">
        <v>1975</v>
      </c>
      <c r="O265" s="939" t="s">
        <v>5051</v>
      </c>
      <c r="P265" s="937">
        <v>44694</v>
      </c>
      <c r="Q265" s="937">
        <v>44694</v>
      </c>
      <c r="R265" s="1034" t="s">
        <v>4223</v>
      </c>
      <c r="S265" s="943"/>
      <c r="T265" s="1564"/>
      <c r="U265" s="936"/>
    </row>
    <row r="266" spans="1:21" ht="56.25" customHeight="1">
      <c r="A266" s="936" t="s">
        <v>2479</v>
      </c>
      <c r="B266" s="937">
        <v>44694</v>
      </c>
      <c r="C266" s="936">
        <v>2</v>
      </c>
      <c r="D266" s="936">
        <f t="shared" si="19"/>
        <v>17</v>
      </c>
      <c r="E266" s="936"/>
      <c r="F266" s="936">
        <f t="shared" si="20"/>
        <v>71</v>
      </c>
      <c r="G266" s="1035" t="s">
        <v>5129</v>
      </c>
      <c r="H266" s="939"/>
      <c r="I266" s="939" t="s">
        <v>2313</v>
      </c>
      <c r="J266" s="1752"/>
      <c r="K266" s="176"/>
      <c r="L266" s="5"/>
      <c r="M266" s="1199" t="s">
        <v>2650</v>
      </c>
      <c r="N266" s="3" t="s">
        <v>1975</v>
      </c>
      <c r="O266" s="939" t="s">
        <v>5051</v>
      </c>
      <c r="P266" s="937">
        <v>44694</v>
      </c>
      <c r="Q266" s="937">
        <v>44694</v>
      </c>
      <c r="R266" s="1034" t="s">
        <v>4223</v>
      </c>
      <c r="S266" s="943"/>
      <c r="T266" s="1564"/>
      <c r="U266" s="936"/>
    </row>
    <row r="267" spans="1:21" ht="40.5" customHeight="1">
      <c r="A267" s="936" t="s">
        <v>2479</v>
      </c>
      <c r="B267" s="937">
        <v>44694</v>
      </c>
      <c r="C267" s="936">
        <v>2</v>
      </c>
      <c r="D267" s="936">
        <f t="shared" si="19"/>
        <v>17</v>
      </c>
      <c r="E267" s="936"/>
      <c r="F267" s="936">
        <f t="shared" si="20"/>
        <v>72</v>
      </c>
      <c r="G267" s="1035" t="s">
        <v>5200</v>
      </c>
      <c r="H267" s="939"/>
      <c r="I267" s="939" t="s">
        <v>2313</v>
      </c>
      <c r="J267" s="1752"/>
      <c r="K267" s="176"/>
      <c r="L267" s="5"/>
      <c r="M267" s="1199" t="s">
        <v>2566</v>
      </c>
      <c r="N267" s="3" t="s">
        <v>1975</v>
      </c>
      <c r="O267" s="939" t="s">
        <v>5051</v>
      </c>
      <c r="P267" s="937">
        <v>44694</v>
      </c>
      <c r="Q267" s="937">
        <v>44694</v>
      </c>
      <c r="R267" s="1034" t="s">
        <v>4223</v>
      </c>
      <c r="S267" s="943"/>
      <c r="T267" s="1564"/>
      <c r="U267" s="936"/>
    </row>
    <row r="268" spans="1:21" ht="40.5" customHeight="1">
      <c r="A268" s="936" t="s">
        <v>2479</v>
      </c>
      <c r="B268" s="937">
        <v>44694</v>
      </c>
      <c r="C268" s="936">
        <v>2</v>
      </c>
      <c r="D268" s="936">
        <f t="shared" si="19"/>
        <v>17</v>
      </c>
      <c r="E268" s="936"/>
      <c r="F268" s="936">
        <f t="shared" si="20"/>
        <v>73</v>
      </c>
      <c r="G268" s="1035" t="s">
        <v>5201</v>
      </c>
      <c r="H268" s="939"/>
      <c r="I268" s="939" t="s">
        <v>2313</v>
      </c>
      <c r="J268" s="1752"/>
      <c r="K268" s="176"/>
      <c r="L268" s="5"/>
      <c r="M268" s="1199" t="s">
        <v>4690</v>
      </c>
      <c r="N268" s="3" t="s">
        <v>1975</v>
      </c>
      <c r="O268" s="939" t="s">
        <v>5051</v>
      </c>
      <c r="P268" s="937">
        <v>44694</v>
      </c>
      <c r="Q268" s="937">
        <v>44694</v>
      </c>
      <c r="R268" s="1034" t="s">
        <v>4223</v>
      </c>
      <c r="S268" s="943"/>
      <c r="T268" s="1564"/>
      <c r="U268" s="936"/>
    </row>
    <row r="269" spans="1:21" ht="40.5" customHeight="1">
      <c r="A269" s="936" t="s">
        <v>2479</v>
      </c>
      <c r="B269" s="937">
        <v>44694</v>
      </c>
      <c r="C269" s="936">
        <v>2</v>
      </c>
      <c r="D269" s="936">
        <f t="shared" si="19"/>
        <v>17</v>
      </c>
      <c r="E269" s="936"/>
      <c r="F269" s="936">
        <f t="shared" si="20"/>
        <v>74</v>
      </c>
      <c r="G269" s="1035" t="s">
        <v>5202</v>
      </c>
      <c r="H269" s="939"/>
      <c r="I269" s="939" t="s">
        <v>2313</v>
      </c>
      <c r="J269" s="1752"/>
      <c r="K269" s="176"/>
      <c r="L269" s="5"/>
      <c r="M269" s="1199" t="s">
        <v>2690</v>
      </c>
      <c r="N269" s="3" t="s">
        <v>1975</v>
      </c>
      <c r="O269" s="939" t="s">
        <v>5051</v>
      </c>
      <c r="P269" s="937">
        <v>44694</v>
      </c>
      <c r="Q269" s="937">
        <v>44694</v>
      </c>
      <c r="R269" s="1034" t="s">
        <v>4223</v>
      </c>
      <c r="S269" s="943"/>
      <c r="T269" s="1564"/>
      <c r="U269" s="936"/>
    </row>
    <row r="270" spans="1:21" ht="40.5" customHeight="1">
      <c r="A270" s="936" t="s">
        <v>2479</v>
      </c>
      <c r="B270" s="937">
        <v>44694</v>
      </c>
      <c r="C270" s="936">
        <v>2</v>
      </c>
      <c r="D270" s="936">
        <f t="shared" si="19"/>
        <v>17</v>
      </c>
      <c r="E270" s="936"/>
      <c r="F270" s="936">
        <f t="shared" si="20"/>
        <v>75</v>
      </c>
      <c r="G270" s="1035" t="s">
        <v>5203</v>
      </c>
      <c r="H270" s="939"/>
      <c r="I270" s="939" t="s">
        <v>2313</v>
      </c>
      <c r="J270" s="1752"/>
      <c r="K270" s="176"/>
      <c r="L270" s="5"/>
      <c r="M270" s="1199" t="s">
        <v>2690</v>
      </c>
      <c r="N270" s="3" t="s">
        <v>1975</v>
      </c>
      <c r="O270" s="939" t="s">
        <v>5051</v>
      </c>
      <c r="P270" s="937">
        <v>44694</v>
      </c>
      <c r="Q270" s="937">
        <v>44694</v>
      </c>
      <c r="R270" s="1034" t="s">
        <v>4223</v>
      </c>
      <c r="S270" s="943"/>
      <c r="T270" s="1564"/>
      <c r="U270" s="936"/>
    </row>
    <row r="271" spans="1:21" ht="40.5" customHeight="1">
      <c r="A271" s="936" t="s">
        <v>2479</v>
      </c>
      <c r="B271" s="937">
        <v>44694</v>
      </c>
      <c r="C271" s="936">
        <v>2</v>
      </c>
      <c r="D271" s="936">
        <f t="shared" si="19"/>
        <v>17</v>
      </c>
      <c r="E271" s="936"/>
      <c r="F271" s="936">
        <f t="shared" si="20"/>
        <v>76</v>
      </c>
      <c r="G271" s="1035" t="s">
        <v>5204</v>
      </c>
      <c r="H271" s="939"/>
      <c r="I271" s="939" t="s">
        <v>2313</v>
      </c>
      <c r="J271" s="1752"/>
      <c r="K271" s="176"/>
      <c r="L271" s="5"/>
      <c r="M271" s="1199" t="s">
        <v>4707</v>
      </c>
      <c r="N271" s="3" t="s">
        <v>1975</v>
      </c>
      <c r="O271" s="939" t="s">
        <v>5051</v>
      </c>
      <c r="P271" s="937">
        <v>44694</v>
      </c>
      <c r="Q271" s="937">
        <v>44694</v>
      </c>
      <c r="R271" s="1034" t="s">
        <v>4223</v>
      </c>
      <c r="S271" s="943"/>
      <c r="T271" s="1564"/>
      <c r="U271" s="936"/>
    </row>
    <row r="272" spans="1:21" ht="40.5" customHeight="1">
      <c r="A272" s="936" t="s">
        <v>2479</v>
      </c>
      <c r="B272" s="937">
        <v>44694</v>
      </c>
      <c r="C272" s="936">
        <v>2</v>
      </c>
      <c r="D272" s="936">
        <f t="shared" si="19"/>
        <v>17</v>
      </c>
      <c r="E272" s="936"/>
      <c r="F272" s="936">
        <f t="shared" si="20"/>
        <v>77</v>
      </c>
      <c r="G272" s="1035" t="s">
        <v>5205</v>
      </c>
      <c r="H272" s="939"/>
      <c r="I272" s="939" t="s">
        <v>2313</v>
      </c>
      <c r="J272" s="1752"/>
      <c r="K272" s="176"/>
      <c r="L272" s="5"/>
      <c r="M272" s="1199" t="s">
        <v>5331</v>
      </c>
      <c r="N272" s="3" t="s">
        <v>1975</v>
      </c>
      <c r="O272" s="939" t="s">
        <v>5051</v>
      </c>
      <c r="P272" s="937">
        <v>44694</v>
      </c>
      <c r="Q272" s="937">
        <v>44694</v>
      </c>
      <c r="R272" s="1034" t="s">
        <v>4223</v>
      </c>
      <c r="S272" s="943"/>
      <c r="T272" s="1564"/>
      <c r="U272" s="936"/>
    </row>
    <row r="273" spans="1:21" ht="40.5" customHeight="1">
      <c r="A273" s="936" t="s">
        <v>2479</v>
      </c>
      <c r="B273" s="937">
        <v>44694</v>
      </c>
      <c r="C273" s="936">
        <v>2</v>
      </c>
      <c r="D273" s="936">
        <f t="shared" si="19"/>
        <v>17</v>
      </c>
      <c r="E273" s="936"/>
      <c r="F273" s="936">
        <f t="shared" si="20"/>
        <v>78</v>
      </c>
      <c r="G273" s="1035" t="s">
        <v>5206</v>
      </c>
      <c r="H273" s="939"/>
      <c r="I273" s="939" t="s">
        <v>2313</v>
      </c>
      <c r="J273" s="1752"/>
      <c r="K273" s="176"/>
      <c r="L273" s="5"/>
      <c r="M273" s="1199" t="s">
        <v>4773</v>
      </c>
      <c r="N273" s="3" t="s">
        <v>1975</v>
      </c>
      <c r="O273" s="939" t="s">
        <v>5051</v>
      </c>
      <c r="P273" s="937">
        <v>44694</v>
      </c>
      <c r="Q273" s="937">
        <v>44694</v>
      </c>
      <c r="R273" s="1034" t="s">
        <v>4223</v>
      </c>
      <c r="S273" s="943"/>
      <c r="T273" s="1564"/>
      <c r="U273" s="936"/>
    </row>
    <row r="274" spans="1:21" ht="40.5" customHeight="1">
      <c r="A274" s="936" t="s">
        <v>2479</v>
      </c>
      <c r="B274" s="937">
        <v>44694</v>
      </c>
      <c r="C274" s="936">
        <v>2</v>
      </c>
      <c r="D274" s="936">
        <f t="shared" si="19"/>
        <v>17</v>
      </c>
      <c r="E274" s="936"/>
      <c r="F274" s="936">
        <f t="shared" si="20"/>
        <v>79</v>
      </c>
      <c r="G274" s="1035" t="s">
        <v>5207</v>
      </c>
      <c r="H274" s="939"/>
      <c r="I274" s="939" t="s">
        <v>2313</v>
      </c>
      <c r="J274" s="1752"/>
      <c r="K274" s="176"/>
      <c r="L274" s="5"/>
      <c r="M274" s="1199" t="s">
        <v>4772</v>
      </c>
      <c r="N274" s="3" t="s">
        <v>1975</v>
      </c>
      <c r="O274" s="939" t="s">
        <v>5051</v>
      </c>
      <c r="P274" s="937">
        <v>44694</v>
      </c>
      <c r="Q274" s="937">
        <v>44694</v>
      </c>
      <c r="R274" s="1034" t="s">
        <v>4223</v>
      </c>
      <c r="S274" s="943"/>
      <c r="T274" s="1564"/>
      <c r="U274" s="936"/>
    </row>
    <row r="275" spans="1:21" ht="40.5" customHeight="1">
      <c r="A275" s="936" t="s">
        <v>2479</v>
      </c>
      <c r="B275" s="937">
        <v>44694</v>
      </c>
      <c r="C275" s="936">
        <v>2</v>
      </c>
      <c r="D275" s="936">
        <f t="shared" si="19"/>
        <v>17</v>
      </c>
      <c r="E275" s="936"/>
      <c r="F275" s="936">
        <f t="shared" si="20"/>
        <v>80</v>
      </c>
      <c r="G275" s="1035" t="s">
        <v>5208</v>
      </c>
      <c r="H275" s="939"/>
      <c r="I275" s="939" t="s">
        <v>2313</v>
      </c>
      <c r="J275" s="1752"/>
      <c r="K275" s="176"/>
      <c r="L275" s="5"/>
      <c r="M275" s="1199" t="s">
        <v>2639</v>
      </c>
      <c r="N275" s="3" t="s">
        <v>2607</v>
      </c>
      <c r="O275" s="939" t="s">
        <v>5051</v>
      </c>
      <c r="P275" s="937">
        <v>44694</v>
      </c>
      <c r="Q275" s="937">
        <v>44694</v>
      </c>
      <c r="R275" s="1034" t="s">
        <v>4223</v>
      </c>
      <c r="S275" s="943"/>
      <c r="T275" s="1564"/>
      <c r="U275" s="936"/>
    </row>
    <row r="276" spans="1:21" ht="56.25" customHeight="1">
      <c r="A276" s="936" t="s">
        <v>2479</v>
      </c>
      <c r="B276" s="937">
        <v>44694</v>
      </c>
      <c r="C276" s="936">
        <v>2</v>
      </c>
      <c r="D276" s="936">
        <f t="shared" si="19"/>
        <v>17</v>
      </c>
      <c r="E276" s="936"/>
      <c r="F276" s="936">
        <f t="shared" si="20"/>
        <v>81</v>
      </c>
      <c r="G276" s="1035" t="s">
        <v>5193</v>
      </c>
      <c r="H276" s="939"/>
      <c r="I276" s="939" t="s">
        <v>2313</v>
      </c>
      <c r="J276" s="1752"/>
      <c r="K276" s="176"/>
      <c r="L276" s="5"/>
      <c r="M276" s="1199" t="s">
        <v>5322</v>
      </c>
      <c r="N276" s="3" t="s">
        <v>1975</v>
      </c>
      <c r="O276" s="939" t="s">
        <v>5051</v>
      </c>
      <c r="P276" s="937">
        <v>44694</v>
      </c>
      <c r="Q276" s="937">
        <v>44694</v>
      </c>
      <c r="R276" s="1034" t="s">
        <v>4223</v>
      </c>
      <c r="S276" s="943"/>
      <c r="T276" s="1564"/>
      <c r="U276" s="936"/>
    </row>
    <row r="277" spans="1:21" ht="57.75" customHeight="1">
      <c r="A277" s="936" t="s">
        <v>2479</v>
      </c>
      <c r="B277" s="937">
        <v>44694</v>
      </c>
      <c r="C277" s="936">
        <v>2</v>
      </c>
      <c r="D277" s="936">
        <f t="shared" si="19"/>
        <v>17</v>
      </c>
      <c r="E277" s="936"/>
      <c r="F277" s="936">
        <f t="shared" si="20"/>
        <v>82</v>
      </c>
      <c r="G277" s="1035" t="s">
        <v>5194</v>
      </c>
      <c r="H277" s="939"/>
      <c r="I277" s="939" t="s">
        <v>2313</v>
      </c>
      <c r="J277" s="1752"/>
      <c r="K277" s="176"/>
      <c r="L277" s="5"/>
      <c r="M277" s="1199" t="s">
        <v>5322</v>
      </c>
      <c r="N277" s="3" t="s">
        <v>1975</v>
      </c>
      <c r="O277" s="939" t="s">
        <v>5051</v>
      </c>
      <c r="P277" s="937">
        <v>44694</v>
      </c>
      <c r="Q277" s="937">
        <v>44694</v>
      </c>
      <c r="R277" s="1034" t="s">
        <v>4223</v>
      </c>
      <c r="S277" s="943"/>
      <c r="T277" s="1564"/>
      <c r="U277" s="936"/>
    </row>
    <row r="278" spans="1:21" ht="58.5" customHeight="1">
      <c r="A278" s="936" t="s">
        <v>2479</v>
      </c>
      <c r="B278" s="937">
        <v>44694</v>
      </c>
      <c r="C278" s="936">
        <v>2</v>
      </c>
      <c r="D278" s="936">
        <v>18</v>
      </c>
      <c r="E278" s="936"/>
      <c r="F278" s="936">
        <f t="shared" si="20"/>
        <v>83</v>
      </c>
      <c r="G278" s="1035" t="s">
        <v>5195</v>
      </c>
      <c r="H278" s="939"/>
      <c r="I278" s="939" t="s">
        <v>2313</v>
      </c>
      <c r="J278" s="1752"/>
      <c r="K278" s="176"/>
      <c r="L278" s="5"/>
      <c r="M278" s="1199" t="s">
        <v>5322</v>
      </c>
      <c r="N278" s="3" t="s">
        <v>1975</v>
      </c>
      <c r="O278" s="939" t="s">
        <v>5051</v>
      </c>
      <c r="P278" s="937">
        <v>44694</v>
      </c>
      <c r="Q278" s="937">
        <v>44694</v>
      </c>
      <c r="R278" s="1034" t="s">
        <v>4223</v>
      </c>
      <c r="S278" s="943"/>
      <c r="T278" s="1564"/>
      <c r="U278" s="936"/>
    </row>
    <row r="279" spans="1:21" ht="40.5" customHeight="1">
      <c r="A279" s="936" t="s">
        <v>2479</v>
      </c>
      <c r="B279" s="937">
        <v>44694</v>
      </c>
      <c r="C279" s="936">
        <v>2</v>
      </c>
      <c r="D279" s="936">
        <v>18</v>
      </c>
      <c r="E279" s="936"/>
      <c r="F279" s="936">
        <v>1</v>
      </c>
      <c r="G279" s="1035" t="s">
        <v>5209</v>
      </c>
      <c r="H279" s="939"/>
      <c r="I279" s="939" t="s">
        <v>2313</v>
      </c>
      <c r="J279" s="1752"/>
      <c r="K279" s="176"/>
      <c r="L279" s="5"/>
      <c r="M279" s="1199" t="s">
        <v>5332</v>
      </c>
      <c r="N279" s="3" t="s">
        <v>2666</v>
      </c>
      <c r="O279" s="939" t="s">
        <v>5052</v>
      </c>
      <c r="P279" s="937">
        <v>44694</v>
      </c>
      <c r="Q279" s="937">
        <v>44694</v>
      </c>
      <c r="R279" s="1034" t="s">
        <v>4223</v>
      </c>
      <c r="S279" s="943"/>
      <c r="T279" s="1564"/>
      <c r="U279" s="936"/>
    </row>
    <row r="280" spans="1:21" ht="40.5" customHeight="1">
      <c r="A280" s="936" t="s">
        <v>2479</v>
      </c>
      <c r="B280" s="937">
        <v>44694</v>
      </c>
      <c r="C280" s="936">
        <v>2</v>
      </c>
      <c r="D280" s="936">
        <f t="shared" ref="D280:D292" si="21">D279</f>
        <v>18</v>
      </c>
      <c r="E280" s="936"/>
      <c r="F280" s="936">
        <f>F279+1</f>
        <v>2</v>
      </c>
      <c r="G280" s="1035" t="s">
        <v>5210</v>
      </c>
      <c r="H280" s="939"/>
      <c r="I280" s="939" t="s">
        <v>2313</v>
      </c>
      <c r="J280" s="1752"/>
      <c r="K280" s="176"/>
      <c r="L280" s="5"/>
      <c r="M280" s="1199"/>
      <c r="N280" s="3" t="s">
        <v>1975</v>
      </c>
      <c r="O280" s="939" t="s">
        <v>5052</v>
      </c>
      <c r="P280" s="937">
        <v>44694</v>
      </c>
      <c r="Q280" s="937">
        <v>44694</v>
      </c>
      <c r="R280" s="1034" t="s">
        <v>4223</v>
      </c>
      <c r="S280" s="943"/>
      <c r="T280" s="1564"/>
      <c r="U280" s="936"/>
    </row>
    <row r="281" spans="1:21" ht="80.25" customHeight="1">
      <c r="A281" s="936" t="s">
        <v>2479</v>
      </c>
      <c r="B281" s="937">
        <v>44694</v>
      </c>
      <c r="C281" s="936">
        <v>2</v>
      </c>
      <c r="D281" s="936">
        <f t="shared" si="21"/>
        <v>18</v>
      </c>
      <c r="E281" s="936"/>
      <c r="F281" s="936">
        <v>1</v>
      </c>
      <c r="G281" s="1035" t="s">
        <v>5211</v>
      </c>
      <c r="H281" s="939"/>
      <c r="I281" s="939" t="s">
        <v>2313</v>
      </c>
      <c r="J281" s="1752"/>
      <c r="K281" s="176"/>
      <c r="L281" s="5"/>
      <c r="M281" s="1199" t="s">
        <v>3144</v>
      </c>
      <c r="N281" s="3" t="s">
        <v>1975</v>
      </c>
      <c r="O281" s="939" t="s">
        <v>351</v>
      </c>
      <c r="P281" s="937">
        <v>44694</v>
      </c>
      <c r="Q281" s="937">
        <v>44694</v>
      </c>
      <c r="R281" s="1034" t="s">
        <v>4223</v>
      </c>
      <c r="S281" s="943"/>
      <c r="T281" s="1564"/>
      <c r="U281" s="936"/>
    </row>
    <row r="282" spans="1:21" ht="83.25" customHeight="1">
      <c r="A282" s="936" t="s">
        <v>2479</v>
      </c>
      <c r="B282" s="937">
        <v>44694</v>
      </c>
      <c r="C282" s="936">
        <v>2</v>
      </c>
      <c r="D282" s="936">
        <f t="shared" si="21"/>
        <v>18</v>
      </c>
      <c r="E282" s="936"/>
      <c r="F282" s="936">
        <f>F281+1</f>
        <v>2</v>
      </c>
      <c r="G282" s="1035" t="s">
        <v>5212</v>
      </c>
      <c r="H282" s="939"/>
      <c r="I282" s="939" t="s">
        <v>2313</v>
      </c>
      <c r="J282" s="1752"/>
      <c r="K282" s="176"/>
      <c r="L282" s="5"/>
      <c r="M282" s="1199" t="s">
        <v>4688</v>
      </c>
      <c r="N282" s="3" t="s">
        <v>5217</v>
      </c>
      <c r="O282" s="939" t="s">
        <v>351</v>
      </c>
      <c r="P282" s="937">
        <v>44694</v>
      </c>
      <c r="Q282" s="937">
        <v>44694</v>
      </c>
      <c r="R282" s="1034" t="s">
        <v>4223</v>
      </c>
      <c r="S282" s="943"/>
      <c r="T282" s="1564"/>
      <c r="U282" s="936"/>
    </row>
    <row r="283" spans="1:21" ht="40.5" customHeight="1">
      <c r="A283" s="936" t="s">
        <v>2479</v>
      </c>
      <c r="B283" s="937">
        <v>44694</v>
      </c>
      <c r="C283" s="936">
        <v>2</v>
      </c>
      <c r="D283" s="936">
        <f t="shared" si="21"/>
        <v>18</v>
      </c>
      <c r="E283" s="936"/>
      <c r="F283" s="936">
        <f>F282+1</f>
        <v>3</v>
      </c>
      <c r="G283" s="1035" t="s">
        <v>5213</v>
      </c>
      <c r="H283" s="939"/>
      <c r="I283" s="939" t="s">
        <v>2313</v>
      </c>
      <c r="J283" s="1752"/>
      <c r="K283" s="176"/>
      <c r="L283" s="5"/>
      <c r="M283" s="1199" t="s">
        <v>5333</v>
      </c>
      <c r="N283" s="3" t="s">
        <v>1975</v>
      </c>
      <c r="O283" s="939" t="s">
        <v>351</v>
      </c>
      <c r="P283" s="937">
        <v>44694</v>
      </c>
      <c r="Q283" s="937">
        <v>44694</v>
      </c>
      <c r="R283" s="1034" t="s">
        <v>4223</v>
      </c>
      <c r="S283" s="943"/>
      <c r="T283" s="1564"/>
      <c r="U283" s="936"/>
    </row>
    <row r="284" spans="1:21" ht="40.5" customHeight="1">
      <c r="A284" s="936" t="s">
        <v>2479</v>
      </c>
      <c r="B284" s="937">
        <v>44694</v>
      </c>
      <c r="C284" s="936">
        <v>2</v>
      </c>
      <c r="D284" s="936">
        <f t="shared" si="21"/>
        <v>18</v>
      </c>
      <c r="E284" s="936"/>
      <c r="F284" s="936">
        <f>F283+1</f>
        <v>4</v>
      </c>
      <c r="G284" s="1035" t="s">
        <v>5214</v>
      </c>
      <c r="H284" s="939"/>
      <c r="I284" s="939" t="s">
        <v>2313</v>
      </c>
      <c r="J284" s="1752"/>
      <c r="K284" s="176"/>
      <c r="L284" s="5"/>
      <c r="M284" s="1199"/>
      <c r="N284" s="3" t="s">
        <v>1975</v>
      </c>
      <c r="O284" s="939" t="s">
        <v>351</v>
      </c>
      <c r="P284" s="937">
        <v>44694</v>
      </c>
      <c r="Q284" s="937">
        <v>44694</v>
      </c>
      <c r="R284" s="1034" t="s">
        <v>4223</v>
      </c>
      <c r="S284" s="943"/>
      <c r="T284" s="1564"/>
      <c r="U284" s="936"/>
    </row>
    <row r="285" spans="1:21" ht="40.5" customHeight="1">
      <c r="A285" s="936" t="s">
        <v>2479</v>
      </c>
      <c r="B285" s="937">
        <v>44694</v>
      </c>
      <c r="C285" s="936">
        <v>2</v>
      </c>
      <c r="D285" s="936">
        <f t="shared" si="21"/>
        <v>18</v>
      </c>
      <c r="E285" s="936"/>
      <c r="F285" s="936">
        <f>F284+1</f>
        <v>5</v>
      </c>
      <c r="G285" s="1035" t="s">
        <v>5215</v>
      </c>
      <c r="H285" s="939"/>
      <c r="I285" s="939" t="s">
        <v>2313</v>
      </c>
      <c r="J285" s="1752"/>
      <c r="K285" s="176"/>
      <c r="L285" s="5"/>
      <c r="M285" s="1199"/>
      <c r="N285" s="3" t="s">
        <v>2527</v>
      </c>
      <c r="O285" s="939" t="s">
        <v>351</v>
      </c>
      <c r="P285" s="937">
        <v>44694</v>
      </c>
      <c r="Q285" s="937">
        <v>44694</v>
      </c>
      <c r="R285" s="1034" t="s">
        <v>4223</v>
      </c>
      <c r="S285" s="943"/>
      <c r="T285" s="1564"/>
      <c r="U285" s="936"/>
    </row>
    <row r="286" spans="1:21" ht="67.5" customHeight="1">
      <c r="A286" s="936" t="s">
        <v>2479</v>
      </c>
      <c r="B286" s="937">
        <v>44694</v>
      </c>
      <c r="C286" s="936">
        <v>2</v>
      </c>
      <c r="D286" s="936">
        <f t="shared" si="21"/>
        <v>18</v>
      </c>
      <c r="E286" s="936"/>
      <c r="F286" s="936">
        <f>F285+1</f>
        <v>6</v>
      </c>
      <c r="G286" s="1035" t="s">
        <v>5216</v>
      </c>
      <c r="H286" s="939"/>
      <c r="I286" s="939" t="s">
        <v>2313</v>
      </c>
      <c r="J286" s="1752"/>
      <c r="K286" s="176"/>
      <c r="L286" s="5"/>
      <c r="M286" s="1199"/>
      <c r="N286" s="3" t="s">
        <v>5218</v>
      </c>
      <c r="O286" s="939" t="s">
        <v>351</v>
      </c>
      <c r="P286" s="937">
        <v>44694</v>
      </c>
      <c r="Q286" s="937">
        <v>44694</v>
      </c>
      <c r="R286" s="1034" t="s">
        <v>4223</v>
      </c>
      <c r="S286" s="943"/>
      <c r="T286" s="1564"/>
      <c r="U286" s="936"/>
    </row>
    <row r="287" spans="1:21" ht="40.5" customHeight="1">
      <c r="A287" s="936" t="s">
        <v>2479</v>
      </c>
      <c r="B287" s="937">
        <v>44694</v>
      </c>
      <c r="C287" s="936">
        <v>2</v>
      </c>
      <c r="D287" s="936">
        <f t="shared" si="21"/>
        <v>18</v>
      </c>
      <c r="E287" s="945" t="s">
        <v>5053</v>
      </c>
      <c r="F287" s="936">
        <v>1</v>
      </c>
      <c r="G287" s="1035" t="s">
        <v>5219</v>
      </c>
      <c r="H287" s="939"/>
      <c r="I287" s="939" t="s">
        <v>550</v>
      </c>
      <c r="J287" s="1752"/>
      <c r="K287" s="176"/>
      <c r="L287" s="5"/>
      <c r="M287" s="1199" t="s">
        <v>2540</v>
      </c>
      <c r="N287" s="3" t="s">
        <v>1976</v>
      </c>
      <c r="O287" s="939" t="s">
        <v>5053</v>
      </c>
      <c r="P287" s="937">
        <v>44694</v>
      </c>
      <c r="Q287" s="937">
        <v>44694</v>
      </c>
      <c r="R287" s="1034" t="s">
        <v>4223</v>
      </c>
      <c r="S287" s="943"/>
      <c r="T287" s="1747"/>
      <c r="U287" s="936"/>
    </row>
    <row r="288" spans="1:21" ht="90.75" customHeight="1">
      <c r="A288" s="936" t="s">
        <v>2479</v>
      </c>
      <c r="B288" s="937">
        <v>44694</v>
      </c>
      <c r="C288" s="936">
        <v>2</v>
      </c>
      <c r="D288" s="936">
        <f t="shared" si="21"/>
        <v>18</v>
      </c>
      <c r="E288" s="936"/>
      <c r="F288" s="936">
        <v>1</v>
      </c>
      <c r="G288" s="1035" t="s">
        <v>5212</v>
      </c>
      <c r="H288" s="939"/>
      <c r="I288" s="939" t="s">
        <v>2313</v>
      </c>
      <c r="J288" s="1752"/>
      <c r="K288" s="176"/>
      <c r="L288" s="5"/>
      <c r="M288" s="1199" t="s">
        <v>4688</v>
      </c>
      <c r="N288" s="3" t="s">
        <v>5217</v>
      </c>
      <c r="O288" s="939" t="s">
        <v>63</v>
      </c>
      <c r="P288" s="937">
        <v>44694</v>
      </c>
      <c r="Q288" s="937">
        <v>44694</v>
      </c>
      <c r="R288" s="1034" t="s">
        <v>4223</v>
      </c>
      <c r="S288" s="943"/>
      <c r="T288" s="1564"/>
      <c r="U288" s="936"/>
    </row>
    <row r="289" spans="1:21" ht="40.5" customHeight="1">
      <c r="A289" s="936" t="s">
        <v>2479</v>
      </c>
      <c r="B289" s="937">
        <v>44694</v>
      </c>
      <c r="C289" s="936">
        <v>2</v>
      </c>
      <c r="D289" s="936">
        <f t="shared" si="21"/>
        <v>18</v>
      </c>
      <c r="E289" s="945" t="s">
        <v>351</v>
      </c>
      <c r="F289" s="936">
        <v>1</v>
      </c>
      <c r="G289" s="1035" t="s">
        <v>5220</v>
      </c>
      <c r="H289" s="939"/>
      <c r="I289" s="939" t="s">
        <v>550</v>
      </c>
      <c r="J289" s="1752"/>
      <c r="K289" s="176"/>
      <c r="L289" s="5"/>
      <c r="M289" s="1199" t="s">
        <v>2499</v>
      </c>
      <c r="N289" s="3" t="s">
        <v>1975</v>
      </c>
      <c r="O289" s="939" t="s">
        <v>5054</v>
      </c>
      <c r="P289" s="937">
        <v>44694</v>
      </c>
      <c r="Q289" s="937">
        <v>44694</v>
      </c>
      <c r="R289" s="1034" t="s">
        <v>4223</v>
      </c>
      <c r="S289" s="943"/>
      <c r="T289" s="1747"/>
      <c r="U289" s="936"/>
    </row>
    <row r="290" spans="1:21" ht="40.5" customHeight="1">
      <c r="A290" s="936" t="s">
        <v>2479</v>
      </c>
      <c r="B290" s="937">
        <v>44694</v>
      </c>
      <c r="C290" s="936">
        <v>2</v>
      </c>
      <c r="D290" s="936">
        <f t="shared" si="21"/>
        <v>18</v>
      </c>
      <c r="E290" s="936"/>
      <c r="F290" s="936">
        <v>1</v>
      </c>
      <c r="G290" s="1035" t="s">
        <v>5221</v>
      </c>
      <c r="H290" s="939"/>
      <c r="I290" s="939" t="s">
        <v>2313</v>
      </c>
      <c r="J290" s="1752"/>
      <c r="K290" s="176"/>
      <c r="L290" s="5"/>
      <c r="M290" s="1199" t="s">
        <v>2486</v>
      </c>
      <c r="N290" s="3" t="s">
        <v>2527</v>
      </c>
      <c r="O290" s="939" t="s">
        <v>5055</v>
      </c>
      <c r="P290" s="937">
        <v>44694</v>
      </c>
      <c r="Q290" s="937">
        <v>44694</v>
      </c>
      <c r="R290" s="1034" t="s">
        <v>4223</v>
      </c>
      <c r="S290" s="943"/>
      <c r="T290" s="1564"/>
      <c r="U290" s="936"/>
    </row>
    <row r="291" spans="1:21" ht="40.5" customHeight="1">
      <c r="A291" s="936" t="s">
        <v>2479</v>
      </c>
      <c r="B291" s="937">
        <v>44694</v>
      </c>
      <c r="C291" s="936">
        <v>2</v>
      </c>
      <c r="D291" s="936">
        <f t="shared" si="21"/>
        <v>18</v>
      </c>
      <c r="E291" s="936"/>
      <c r="F291" s="936">
        <f>F290+1</f>
        <v>2</v>
      </c>
      <c r="G291" s="1035" t="s">
        <v>5222</v>
      </c>
      <c r="H291" s="939"/>
      <c r="I291" s="939" t="s">
        <v>2313</v>
      </c>
      <c r="J291" s="1752"/>
      <c r="K291" s="176"/>
      <c r="L291" s="5"/>
      <c r="M291" s="1199" t="s">
        <v>2486</v>
      </c>
      <c r="N291" s="3" t="s">
        <v>1975</v>
      </c>
      <c r="O291" s="939" t="s">
        <v>5055</v>
      </c>
      <c r="P291" s="937">
        <v>44694</v>
      </c>
      <c r="Q291" s="937">
        <v>44694</v>
      </c>
      <c r="R291" s="1034" t="s">
        <v>4223</v>
      </c>
      <c r="S291" s="943"/>
      <c r="T291" s="1564"/>
      <c r="U291" s="936"/>
    </row>
    <row r="292" spans="1:21" ht="40.5" customHeight="1">
      <c r="A292" s="936" t="s">
        <v>2479</v>
      </c>
      <c r="B292" s="937">
        <v>44694</v>
      </c>
      <c r="C292" s="936">
        <v>2</v>
      </c>
      <c r="D292" s="936">
        <f t="shared" si="21"/>
        <v>18</v>
      </c>
      <c r="E292" s="936"/>
      <c r="F292" s="936">
        <f>F291+1</f>
        <v>3</v>
      </c>
      <c r="G292" s="1035" t="s">
        <v>5222</v>
      </c>
      <c r="H292" s="939"/>
      <c r="I292" s="939" t="s">
        <v>2313</v>
      </c>
      <c r="J292" s="1752"/>
      <c r="K292" s="176"/>
      <c r="L292" s="5"/>
      <c r="M292" s="1199" t="s">
        <v>2486</v>
      </c>
      <c r="N292" s="3" t="s">
        <v>2541</v>
      </c>
      <c r="O292" s="939" t="s">
        <v>5055</v>
      </c>
      <c r="P292" s="937">
        <v>44694</v>
      </c>
      <c r="Q292" s="937">
        <v>44694</v>
      </c>
      <c r="R292" s="1034" t="s">
        <v>4223</v>
      </c>
      <c r="S292" s="943"/>
      <c r="T292" s="1564"/>
      <c r="U292" s="936"/>
    </row>
    <row r="293" spans="1:21" ht="98.25" customHeight="1">
      <c r="A293" s="936" t="s">
        <v>2479</v>
      </c>
      <c r="B293" s="937">
        <v>44526</v>
      </c>
      <c r="C293" s="936">
        <v>1</v>
      </c>
      <c r="D293" s="936">
        <v>5</v>
      </c>
      <c r="E293" s="944" t="s">
        <v>4490</v>
      </c>
      <c r="F293" s="936">
        <v>1</v>
      </c>
      <c r="G293" s="1035" t="s">
        <v>4740</v>
      </c>
      <c r="H293" s="939"/>
      <c r="I293" s="939" t="s">
        <v>550</v>
      </c>
      <c r="J293" s="1752" t="s">
        <v>5790</v>
      </c>
      <c r="K293" s="176">
        <v>44812</v>
      </c>
      <c r="L293" s="177">
        <v>44834</v>
      </c>
      <c r="M293" s="1199" t="s">
        <v>4796</v>
      </c>
      <c r="N293" s="3" t="s">
        <v>1975</v>
      </c>
      <c r="O293" s="939" t="s">
        <v>5223</v>
      </c>
      <c r="P293" s="937">
        <v>44526</v>
      </c>
      <c r="Q293" s="937">
        <v>44526</v>
      </c>
      <c r="R293" s="1034" t="s">
        <v>4223</v>
      </c>
      <c r="S293" s="943"/>
      <c r="T293" s="1747"/>
      <c r="U293" s="936"/>
    </row>
    <row r="294" spans="1:21" ht="122.25" customHeight="1">
      <c r="A294" s="936" t="s">
        <v>2479</v>
      </c>
      <c r="B294" s="937">
        <v>44526</v>
      </c>
      <c r="C294" s="936">
        <f>C293</f>
        <v>1</v>
      </c>
      <c r="D294" s="936">
        <f>D293</f>
        <v>5</v>
      </c>
      <c r="E294" s="936"/>
      <c r="F294" s="936">
        <f t="shared" ref="F294:F325" si="22">F293+1</f>
        <v>2</v>
      </c>
      <c r="G294" s="1035" t="s">
        <v>4741</v>
      </c>
      <c r="H294" s="939"/>
      <c r="I294" s="939" t="s">
        <v>2313</v>
      </c>
      <c r="J294" s="1752"/>
      <c r="K294" s="176"/>
      <c r="L294" s="5"/>
      <c r="M294" s="1199" t="s">
        <v>3144</v>
      </c>
      <c r="N294" s="3" t="s">
        <v>1975</v>
      </c>
      <c r="O294" s="939" t="s">
        <v>5223</v>
      </c>
      <c r="P294" s="937">
        <v>44526</v>
      </c>
      <c r="Q294" s="937">
        <v>44526</v>
      </c>
      <c r="R294" s="1034" t="s">
        <v>4223</v>
      </c>
      <c r="S294" s="943"/>
      <c r="T294" s="1564"/>
      <c r="U294" s="936"/>
    </row>
    <row r="295" spans="1:21" ht="62.25" customHeight="1">
      <c r="A295" s="936" t="s">
        <v>2479</v>
      </c>
      <c r="B295" s="937">
        <v>44526</v>
      </c>
      <c r="C295" s="936">
        <f>C294</f>
        <v>1</v>
      </c>
      <c r="D295" s="936">
        <f>D294</f>
        <v>5</v>
      </c>
      <c r="E295" s="944" t="s">
        <v>4521</v>
      </c>
      <c r="F295" s="936">
        <f t="shared" si="22"/>
        <v>3</v>
      </c>
      <c r="G295" s="1035" t="s">
        <v>4742</v>
      </c>
      <c r="H295" s="939"/>
      <c r="I295" s="939" t="s">
        <v>550</v>
      </c>
      <c r="J295" s="1752" t="s">
        <v>5790</v>
      </c>
      <c r="K295" s="176">
        <v>44847</v>
      </c>
      <c r="L295" s="5">
        <v>44895</v>
      </c>
      <c r="M295" s="1199"/>
      <c r="N295" s="3" t="s">
        <v>2527</v>
      </c>
      <c r="O295" s="939" t="s">
        <v>5223</v>
      </c>
      <c r="P295" s="937">
        <v>44526</v>
      </c>
      <c r="Q295" s="937">
        <v>44526</v>
      </c>
      <c r="R295" s="1034" t="s">
        <v>4223</v>
      </c>
      <c r="S295" s="943"/>
      <c r="T295" s="1747"/>
      <c r="U295" s="936"/>
    </row>
    <row r="296" spans="1:21" ht="64.5" customHeight="1">
      <c r="A296" s="936" t="s">
        <v>2479</v>
      </c>
      <c r="B296" s="937">
        <v>44526</v>
      </c>
      <c r="C296" s="936">
        <f t="shared" ref="C296:C327" si="23">C295</f>
        <v>1</v>
      </c>
      <c r="D296" s="936">
        <v>6</v>
      </c>
      <c r="E296" s="936"/>
      <c r="F296" s="936">
        <f t="shared" si="22"/>
        <v>4</v>
      </c>
      <c r="G296" s="1035" t="s">
        <v>5224</v>
      </c>
      <c r="H296" s="939"/>
      <c r="I296" s="939" t="s">
        <v>2313</v>
      </c>
      <c r="J296" s="1752"/>
      <c r="K296" s="176"/>
      <c r="L296" s="5"/>
      <c r="M296" s="1199"/>
      <c r="N296" s="3" t="s">
        <v>2616</v>
      </c>
      <c r="O296" s="939" t="s">
        <v>5223</v>
      </c>
      <c r="P296" s="937">
        <v>44526</v>
      </c>
      <c r="Q296" s="937">
        <v>44526</v>
      </c>
      <c r="R296" s="1034" t="s">
        <v>4223</v>
      </c>
      <c r="S296" s="943"/>
      <c r="T296" s="1564"/>
      <c r="U296" s="936"/>
    </row>
    <row r="297" spans="1:21" ht="56.25" customHeight="1">
      <c r="A297" s="936" t="s">
        <v>2479</v>
      </c>
      <c r="B297" s="937">
        <v>44526</v>
      </c>
      <c r="C297" s="936">
        <f t="shared" si="23"/>
        <v>1</v>
      </c>
      <c r="D297" s="936">
        <f t="shared" ref="D297:D328" si="24">D296</f>
        <v>6</v>
      </c>
      <c r="E297" s="936"/>
      <c r="F297" s="936">
        <f t="shared" si="22"/>
        <v>5</v>
      </c>
      <c r="G297" s="1035" t="s">
        <v>5224</v>
      </c>
      <c r="H297" s="939"/>
      <c r="I297" s="939" t="s">
        <v>2313</v>
      </c>
      <c r="J297" s="1752"/>
      <c r="K297" s="176"/>
      <c r="L297" s="5"/>
      <c r="M297" s="1199"/>
      <c r="N297" s="3" t="s">
        <v>2535</v>
      </c>
      <c r="O297" s="939" t="s">
        <v>5223</v>
      </c>
      <c r="P297" s="937">
        <v>44526</v>
      </c>
      <c r="Q297" s="937">
        <v>44526</v>
      </c>
      <c r="R297" s="1034" t="s">
        <v>4223</v>
      </c>
      <c r="S297" s="943"/>
      <c r="T297" s="1564"/>
      <c r="U297" s="936"/>
    </row>
    <row r="298" spans="1:21" ht="40.5" customHeight="1">
      <c r="A298" s="936" t="s">
        <v>2479</v>
      </c>
      <c r="B298" s="937">
        <v>44526</v>
      </c>
      <c r="C298" s="936">
        <f t="shared" si="23"/>
        <v>1</v>
      </c>
      <c r="D298" s="936">
        <f t="shared" si="24"/>
        <v>6</v>
      </c>
      <c r="E298" s="936"/>
      <c r="F298" s="936">
        <f t="shared" si="22"/>
        <v>6</v>
      </c>
      <c r="G298" s="1035" t="s">
        <v>5225</v>
      </c>
      <c r="H298" s="939"/>
      <c r="I298" s="939" t="s">
        <v>2313</v>
      </c>
      <c r="J298" s="1752"/>
      <c r="K298" s="176"/>
      <c r="L298" s="5"/>
      <c r="M298" s="1199"/>
      <c r="N298" s="3" t="s">
        <v>2580</v>
      </c>
      <c r="O298" s="939" t="s">
        <v>5223</v>
      </c>
      <c r="P298" s="937">
        <v>44526</v>
      </c>
      <c r="Q298" s="937">
        <v>44526</v>
      </c>
      <c r="R298" s="1034" t="s">
        <v>4223</v>
      </c>
      <c r="S298" s="943"/>
      <c r="T298" s="1564"/>
      <c r="U298" s="936"/>
    </row>
    <row r="299" spans="1:21" ht="40.5" customHeight="1">
      <c r="A299" s="936" t="s">
        <v>2479</v>
      </c>
      <c r="B299" s="937">
        <v>44526</v>
      </c>
      <c r="C299" s="936">
        <f t="shared" si="23"/>
        <v>1</v>
      </c>
      <c r="D299" s="936">
        <f t="shared" si="24"/>
        <v>6</v>
      </c>
      <c r="E299" s="936"/>
      <c r="F299" s="936">
        <f t="shared" si="22"/>
        <v>7</v>
      </c>
      <c r="G299" s="1035" t="s">
        <v>5226</v>
      </c>
      <c r="H299" s="939"/>
      <c r="I299" s="939" t="s">
        <v>2313</v>
      </c>
      <c r="J299" s="1752"/>
      <c r="K299" s="176"/>
      <c r="L299" s="5"/>
      <c r="M299" s="1199"/>
      <c r="N299" s="3" t="s">
        <v>1976</v>
      </c>
      <c r="O299" s="939" t="s">
        <v>5223</v>
      </c>
      <c r="P299" s="937">
        <v>44526</v>
      </c>
      <c r="Q299" s="937">
        <v>44526</v>
      </c>
      <c r="R299" s="1034" t="s">
        <v>4223</v>
      </c>
      <c r="S299" s="943"/>
      <c r="T299" s="1564"/>
      <c r="U299" s="936"/>
    </row>
    <row r="300" spans="1:21" ht="40.5" customHeight="1">
      <c r="A300" s="936" t="s">
        <v>2479</v>
      </c>
      <c r="B300" s="937">
        <v>44526</v>
      </c>
      <c r="C300" s="936">
        <f t="shared" si="23"/>
        <v>1</v>
      </c>
      <c r="D300" s="936">
        <f t="shared" si="24"/>
        <v>6</v>
      </c>
      <c r="E300" s="936"/>
      <c r="F300" s="936">
        <f t="shared" si="22"/>
        <v>8</v>
      </c>
      <c r="G300" s="1035" t="s">
        <v>5226</v>
      </c>
      <c r="H300" s="939"/>
      <c r="I300" s="939" t="s">
        <v>2313</v>
      </c>
      <c r="J300" s="1752"/>
      <c r="K300" s="176"/>
      <c r="L300" s="5"/>
      <c r="M300" s="1199"/>
      <c r="N300" s="3" t="s">
        <v>2535</v>
      </c>
      <c r="O300" s="939" t="s">
        <v>5223</v>
      </c>
      <c r="P300" s="937">
        <v>44526</v>
      </c>
      <c r="Q300" s="937">
        <v>44526</v>
      </c>
      <c r="R300" s="1034" t="s">
        <v>4223</v>
      </c>
      <c r="S300" s="943"/>
      <c r="T300" s="1564"/>
      <c r="U300" s="936"/>
    </row>
    <row r="301" spans="1:21" ht="40.5" customHeight="1">
      <c r="A301" s="936" t="s">
        <v>2479</v>
      </c>
      <c r="B301" s="937">
        <v>44526</v>
      </c>
      <c r="C301" s="936">
        <f t="shared" si="23"/>
        <v>1</v>
      </c>
      <c r="D301" s="936">
        <f t="shared" si="24"/>
        <v>6</v>
      </c>
      <c r="E301" s="936"/>
      <c r="F301" s="936">
        <f t="shared" si="22"/>
        <v>9</v>
      </c>
      <c r="G301" s="1035" t="s">
        <v>5227</v>
      </c>
      <c r="H301" s="939"/>
      <c r="I301" s="939" t="s">
        <v>2313</v>
      </c>
      <c r="J301" s="1752"/>
      <c r="K301" s="176"/>
      <c r="L301" s="5"/>
      <c r="M301" s="1199"/>
      <c r="N301" s="3" t="s">
        <v>5248</v>
      </c>
      <c r="O301" s="939" t="s">
        <v>5223</v>
      </c>
      <c r="P301" s="937">
        <v>44526</v>
      </c>
      <c r="Q301" s="937">
        <v>44526</v>
      </c>
      <c r="R301" s="1034" t="s">
        <v>4223</v>
      </c>
      <c r="S301" s="943"/>
      <c r="T301" s="1564"/>
      <c r="U301" s="936"/>
    </row>
    <row r="302" spans="1:21" ht="40.5" customHeight="1">
      <c r="A302" s="936" t="s">
        <v>2479</v>
      </c>
      <c r="B302" s="937">
        <v>44526</v>
      </c>
      <c r="C302" s="936">
        <f t="shared" si="23"/>
        <v>1</v>
      </c>
      <c r="D302" s="936">
        <f t="shared" si="24"/>
        <v>6</v>
      </c>
      <c r="E302" s="936"/>
      <c r="F302" s="936">
        <f t="shared" si="22"/>
        <v>10</v>
      </c>
      <c r="G302" s="1035" t="s">
        <v>5228</v>
      </c>
      <c r="H302" s="939"/>
      <c r="I302" s="939" t="s">
        <v>2313</v>
      </c>
      <c r="J302" s="1752"/>
      <c r="K302" s="176"/>
      <c r="L302" s="5"/>
      <c r="M302" s="1199"/>
      <c r="N302" s="3" t="s">
        <v>1975</v>
      </c>
      <c r="O302" s="939" t="s">
        <v>5223</v>
      </c>
      <c r="P302" s="937">
        <v>44526</v>
      </c>
      <c r="Q302" s="937">
        <v>44526</v>
      </c>
      <c r="R302" s="1034" t="s">
        <v>4223</v>
      </c>
      <c r="S302" s="943"/>
      <c r="T302" s="1564"/>
      <c r="U302" s="936"/>
    </row>
    <row r="303" spans="1:21" ht="40.5" customHeight="1">
      <c r="A303" s="936" t="s">
        <v>2479</v>
      </c>
      <c r="B303" s="937">
        <v>44526</v>
      </c>
      <c r="C303" s="936">
        <f t="shared" si="23"/>
        <v>1</v>
      </c>
      <c r="D303" s="936">
        <f t="shared" si="24"/>
        <v>6</v>
      </c>
      <c r="E303" s="936"/>
      <c r="F303" s="936">
        <f t="shared" si="22"/>
        <v>11</v>
      </c>
      <c r="G303" s="1035" t="s">
        <v>5229</v>
      </c>
      <c r="H303" s="939"/>
      <c r="I303" s="939" t="s">
        <v>2313</v>
      </c>
      <c r="J303" s="1752"/>
      <c r="K303" s="176"/>
      <c r="L303" s="5"/>
      <c r="M303" s="1199"/>
      <c r="N303" s="3" t="s">
        <v>1975</v>
      </c>
      <c r="O303" s="939" t="s">
        <v>5223</v>
      </c>
      <c r="P303" s="937">
        <v>44526</v>
      </c>
      <c r="Q303" s="937">
        <v>44526</v>
      </c>
      <c r="R303" s="1034" t="s">
        <v>4223</v>
      </c>
      <c r="S303" s="943"/>
      <c r="T303" s="1564"/>
      <c r="U303" s="936"/>
    </row>
    <row r="304" spans="1:21" ht="40.5" customHeight="1">
      <c r="A304" s="936" t="s">
        <v>2479</v>
      </c>
      <c r="B304" s="937">
        <v>44526</v>
      </c>
      <c r="C304" s="936">
        <f t="shared" si="23"/>
        <v>1</v>
      </c>
      <c r="D304" s="936">
        <f t="shared" si="24"/>
        <v>6</v>
      </c>
      <c r="E304" s="936"/>
      <c r="F304" s="936">
        <f t="shared" si="22"/>
        <v>12</v>
      </c>
      <c r="G304" s="1035" t="s">
        <v>5230</v>
      </c>
      <c r="H304" s="939"/>
      <c r="I304" s="939" t="s">
        <v>2313</v>
      </c>
      <c r="J304" s="1752"/>
      <c r="K304" s="176"/>
      <c r="L304" s="5"/>
      <c r="M304" s="1199" t="s">
        <v>5324</v>
      </c>
      <c r="N304" s="3" t="s">
        <v>1975</v>
      </c>
      <c r="O304" s="939" t="s">
        <v>5223</v>
      </c>
      <c r="P304" s="937">
        <v>44526</v>
      </c>
      <c r="Q304" s="937">
        <v>44526</v>
      </c>
      <c r="R304" s="1034" t="s">
        <v>4223</v>
      </c>
      <c r="S304" s="943"/>
      <c r="T304" s="1564"/>
      <c r="U304" s="936"/>
    </row>
    <row r="305" spans="1:21" ht="84.75" customHeight="1">
      <c r="A305" s="936" t="s">
        <v>2479</v>
      </c>
      <c r="B305" s="937">
        <v>44526</v>
      </c>
      <c r="C305" s="936">
        <f t="shared" si="23"/>
        <v>1</v>
      </c>
      <c r="D305" s="936">
        <f t="shared" si="24"/>
        <v>6</v>
      </c>
      <c r="E305" s="936"/>
      <c r="F305" s="936">
        <f t="shared" si="22"/>
        <v>13</v>
      </c>
      <c r="G305" s="1035" t="s">
        <v>5231</v>
      </c>
      <c r="H305" s="939"/>
      <c r="I305" s="939" t="s">
        <v>2313</v>
      </c>
      <c r="J305" s="1752"/>
      <c r="K305" s="176"/>
      <c r="L305" s="5"/>
      <c r="M305" s="1199" t="s">
        <v>5334</v>
      </c>
      <c r="N305" s="3" t="s">
        <v>1975</v>
      </c>
      <c r="O305" s="939" t="s">
        <v>5223</v>
      </c>
      <c r="P305" s="937">
        <v>44526</v>
      </c>
      <c r="Q305" s="937">
        <v>44526</v>
      </c>
      <c r="R305" s="1034" t="s">
        <v>4223</v>
      </c>
      <c r="S305" s="943"/>
      <c r="T305" s="1564"/>
      <c r="U305" s="936"/>
    </row>
    <row r="306" spans="1:21" ht="85.5" customHeight="1">
      <c r="A306" s="936" t="s">
        <v>2479</v>
      </c>
      <c r="B306" s="937">
        <v>44526</v>
      </c>
      <c r="C306" s="936">
        <f t="shared" si="23"/>
        <v>1</v>
      </c>
      <c r="D306" s="936">
        <f t="shared" si="24"/>
        <v>6</v>
      </c>
      <c r="E306" s="936"/>
      <c r="F306" s="936">
        <f t="shared" si="22"/>
        <v>14</v>
      </c>
      <c r="G306" s="1035" t="s">
        <v>5232</v>
      </c>
      <c r="H306" s="939"/>
      <c r="I306" s="939" t="s">
        <v>2313</v>
      </c>
      <c r="J306" s="1752"/>
      <c r="K306" s="176"/>
      <c r="L306" s="5"/>
      <c r="M306" s="1199" t="s">
        <v>4773</v>
      </c>
      <c r="N306" s="3" t="s">
        <v>1975</v>
      </c>
      <c r="O306" s="939" t="s">
        <v>5223</v>
      </c>
      <c r="P306" s="937">
        <v>44526</v>
      </c>
      <c r="Q306" s="937">
        <v>44526</v>
      </c>
      <c r="R306" s="1034" t="s">
        <v>4223</v>
      </c>
      <c r="S306" s="943"/>
      <c r="T306" s="1564"/>
      <c r="U306" s="936"/>
    </row>
    <row r="307" spans="1:21" ht="102" customHeight="1">
      <c r="A307" s="936" t="s">
        <v>2479</v>
      </c>
      <c r="B307" s="937">
        <v>44526</v>
      </c>
      <c r="C307" s="936">
        <f t="shared" si="23"/>
        <v>1</v>
      </c>
      <c r="D307" s="936">
        <f t="shared" si="24"/>
        <v>6</v>
      </c>
      <c r="E307" s="936"/>
      <c r="F307" s="936">
        <f t="shared" si="22"/>
        <v>15</v>
      </c>
      <c r="G307" s="1035" t="s">
        <v>5233</v>
      </c>
      <c r="H307" s="939"/>
      <c r="I307" s="939" t="s">
        <v>2313</v>
      </c>
      <c r="J307" s="1752"/>
      <c r="K307" s="176"/>
      <c r="L307" s="5"/>
      <c r="M307" s="1199" t="s">
        <v>2693</v>
      </c>
      <c r="N307" s="3" t="s">
        <v>1975</v>
      </c>
      <c r="O307" s="939" t="s">
        <v>5223</v>
      </c>
      <c r="P307" s="937">
        <v>44526</v>
      </c>
      <c r="Q307" s="937">
        <v>44526</v>
      </c>
      <c r="R307" s="1034" t="s">
        <v>4223</v>
      </c>
      <c r="S307" s="943"/>
      <c r="T307" s="1564"/>
      <c r="U307" s="936"/>
    </row>
    <row r="308" spans="1:21" ht="78.75" customHeight="1">
      <c r="A308" s="936" t="s">
        <v>2479</v>
      </c>
      <c r="B308" s="937">
        <v>44526</v>
      </c>
      <c r="C308" s="936">
        <f t="shared" si="23"/>
        <v>1</v>
      </c>
      <c r="D308" s="936">
        <f t="shared" si="24"/>
        <v>6</v>
      </c>
      <c r="E308" s="936"/>
      <c r="F308" s="936">
        <f t="shared" si="22"/>
        <v>16</v>
      </c>
      <c r="G308" s="1035" t="s">
        <v>5234</v>
      </c>
      <c r="H308" s="939"/>
      <c r="I308" s="939" t="s">
        <v>2313</v>
      </c>
      <c r="J308" s="1752"/>
      <c r="K308" s="176"/>
      <c r="L308" s="5"/>
      <c r="M308" s="1199" t="s">
        <v>2491</v>
      </c>
      <c r="N308" s="3" t="s">
        <v>1975</v>
      </c>
      <c r="O308" s="939" t="s">
        <v>5223</v>
      </c>
      <c r="P308" s="937">
        <v>44526</v>
      </c>
      <c r="Q308" s="937">
        <v>44526</v>
      </c>
      <c r="R308" s="1034" t="s">
        <v>4223</v>
      </c>
      <c r="S308" s="943"/>
      <c r="T308" s="1564"/>
      <c r="U308" s="936"/>
    </row>
    <row r="309" spans="1:21" ht="75.75" customHeight="1">
      <c r="A309" s="936" t="s">
        <v>2479</v>
      </c>
      <c r="B309" s="937">
        <v>44526</v>
      </c>
      <c r="C309" s="936">
        <f t="shared" si="23"/>
        <v>1</v>
      </c>
      <c r="D309" s="936">
        <f t="shared" si="24"/>
        <v>6</v>
      </c>
      <c r="E309" s="936"/>
      <c r="F309" s="936">
        <f t="shared" si="22"/>
        <v>17</v>
      </c>
      <c r="G309" s="1035" t="s">
        <v>5057</v>
      </c>
      <c r="H309" s="939"/>
      <c r="I309" s="939" t="s">
        <v>2313</v>
      </c>
      <c r="J309" s="1752"/>
      <c r="K309" s="176"/>
      <c r="L309" s="5"/>
      <c r="M309" s="1199" t="s">
        <v>4651</v>
      </c>
      <c r="N309" s="3" t="s">
        <v>1975</v>
      </c>
      <c r="O309" s="939" t="s">
        <v>5223</v>
      </c>
      <c r="P309" s="937">
        <v>44526</v>
      </c>
      <c r="Q309" s="937">
        <v>44526</v>
      </c>
      <c r="R309" s="1034" t="s">
        <v>4223</v>
      </c>
      <c r="S309" s="943"/>
      <c r="T309" s="1564"/>
      <c r="U309" s="936"/>
    </row>
    <row r="310" spans="1:21" ht="77.25" customHeight="1">
      <c r="A310" s="936" t="s">
        <v>2479</v>
      </c>
      <c r="B310" s="937">
        <v>44526</v>
      </c>
      <c r="C310" s="936">
        <f t="shared" si="23"/>
        <v>1</v>
      </c>
      <c r="D310" s="936">
        <f t="shared" si="24"/>
        <v>6</v>
      </c>
      <c r="E310" s="936"/>
      <c r="F310" s="936">
        <f t="shared" si="22"/>
        <v>18</v>
      </c>
      <c r="G310" s="1035" t="s">
        <v>5235</v>
      </c>
      <c r="H310" s="939"/>
      <c r="I310" s="939" t="s">
        <v>2313</v>
      </c>
      <c r="J310" s="1752"/>
      <c r="K310" s="176"/>
      <c r="L310" s="5"/>
      <c r="M310" s="1199" t="s">
        <v>2491</v>
      </c>
      <c r="N310" s="3" t="s">
        <v>1975</v>
      </c>
      <c r="O310" s="939" t="s">
        <v>5223</v>
      </c>
      <c r="P310" s="937">
        <v>44526</v>
      </c>
      <c r="Q310" s="937">
        <v>44526</v>
      </c>
      <c r="R310" s="1034" t="s">
        <v>4223</v>
      </c>
      <c r="S310" s="943"/>
      <c r="T310" s="1564"/>
      <c r="U310" s="936"/>
    </row>
    <row r="311" spans="1:21" ht="40.5" customHeight="1">
      <c r="A311" s="936" t="s">
        <v>2479</v>
      </c>
      <c r="B311" s="937">
        <v>44526</v>
      </c>
      <c r="C311" s="936">
        <f t="shared" si="23"/>
        <v>1</v>
      </c>
      <c r="D311" s="936">
        <f t="shared" si="24"/>
        <v>6</v>
      </c>
      <c r="E311" s="936"/>
      <c r="F311" s="936">
        <f t="shared" si="22"/>
        <v>19</v>
      </c>
      <c r="G311" s="1035" t="s">
        <v>5236</v>
      </c>
      <c r="H311" s="939"/>
      <c r="I311" s="939" t="s">
        <v>2313</v>
      </c>
      <c r="J311" s="1752"/>
      <c r="K311" s="176"/>
      <c r="L311" s="5"/>
      <c r="M311" s="1199" t="s">
        <v>5335</v>
      </c>
      <c r="N311" s="3" t="s">
        <v>2541</v>
      </c>
      <c r="O311" s="939" t="s">
        <v>268</v>
      </c>
      <c r="P311" s="937">
        <v>44526</v>
      </c>
      <c r="Q311" s="937">
        <v>44526</v>
      </c>
      <c r="R311" s="1034" t="s">
        <v>4223</v>
      </c>
      <c r="S311" s="943"/>
      <c r="T311" s="1564"/>
      <c r="U311" s="936"/>
    </row>
    <row r="312" spans="1:21" ht="40.5" customHeight="1">
      <c r="A312" s="936" t="s">
        <v>2479</v>
      </c>
      <c r="B312" s="937">
        <v>44526</v>
      </c>
      <c r="C312" s="936">
        <f t="shared" si="23"/>
        <v>1</v>
      </c>
      <c r="D312" s="936">
        <f t="shared" si="24"/>
        <v>6</v>
      </c>
      <c r="E312" s="945" t="s">
        <v>4354</v>
      </c>
      <c r="F312" s="936">
        <f t="shared" si="22"/>
        <v>20</v>
      </c>
      <c r="G312" s="1035" t="s">
        <v>5237</v>
      </c>
      <c r="H312" s="939"/>
      <c r="I312" s="939" t="s">
        <v>550</v>
      </c>
      <c r="J312" s="1752" t="s">
        <v>5791</v>
      </c>
      <c r="K312" s="176">
        <v>44760</v>
      </c>
      <c r="L312" s="5">
        <v>44804</v>
      </c>
      <c r="M312" s="1199" t="s">
        <v>4700</v>
      </c>
      <c r="N312" s="3" t="s">
        <v>2541</v>
      </c>
      <c r="O312" s="939" t="s">
        <v>268</v>
      </c>
      <c r="P312" s="937">
        <v>44526</v>
      </c>
      <c r="Q312" s="937">
        <v>44526</v>
      </c>
      <c r="R312" s="1034" t="s">
        <v>4223</v>
      </c>
      <c r="S312" s="943"/>
      <c r="T312" s="1747"/>
      <c r="U312" s="936"/>
    </row>
    <row r="313" spans="1:21" ht="40.5" customHeight="1">
      <c r="A313" s="936" t="s">
        <v>2479</v>
      </c>
      <c r="B313" s="937">
        <v>44526</v>
      </c>
      <c r="C313" s="936">
        <f t="shared" si="23"/>
        <v>1</v>
      </c>
      <c r="D313" s="936">
        <f t="shared" si="24"/>
        <v>6</v>
      </c>
      <c r="E313" s="945" t="s">
        <v>4358</v>
      </c>
      <c r="F313" s="936">
        <f t="shared" si="22"/>
        <v>21</v>
      </c>
      <c r="G313" s="1035" t="s">
        <v>5238</v>
      </c>
      <c r="H313" s="939"/>
      <c r="I313" s="939" t="s">
        <v>550</v>
      </c>
      <c r="J313" s="1752" t="s">
        <v>5791</v>
      </c>
      <c r="K313" s="176">
        <v>44865</v>
      </c>
      <c r="L313" s="5">
        <v>44883</v>
      </c>
      <c r="M313" s="1199" t="s">
        <v>4713</v>
      </c>
      <c r="N313" s="3" t="s">
        <v>2541</v>
      </c>
      <c r="O313" s="939" t="s">
        <v>268</v>
      </c>
      <c r="P313" s="937">
        <v>44526</v>
      </c>
      <c r="Q313" s="937">
        <v>44526</v>
      </c>
      <c r="R313" s="1034" t="s">
        <v>4223</v>
      </c>
      <c r="S313" s="943"/>
      <c r="T313" s="1747"/>
      <c r="U313" s="936"/>
    </row>
    <row r="314" spans="1:21" ht="40.5" customHeight="1">
      <c r="A314" s="936" t="s">
        <v>2479</v>
      </c>
      <c r="B314" s="937">
        <v>44526</v>
      </c>
      <c r="C314" s="936">
        <f t="shared" si="23"/>
        <v>1</v>
      </c>
      <c r="D314" s="936">
        <f t="shared" si="24"/>
        <v>6</v>
      </c>
      <c r="E314" s="936"/>
      <c r="F314" s="936">
        <f t="shared" si="22"/>
        <v>22</v>
      </c>
      <c r="G314" s="1035" t="s">
        <v>5239</v>
      </c>
      <c r="H314" s="939"/>
      <c r="I314" s="939" t="s">
        <v>2313</v>
      </c>
      <c r="J314" s="1752"/>
      <c r="K314" s="176"/>
      <c r="L314" s="5"/>
      <c r="M314" s="1199" t="s">
        <v>4700</v>
      </c>
      <c r="N314" s="3" t="s">
        <v>2541</v>
      </c>
      <c r="O314" s="939" t="s">
        <v>268</v>
      </c>
      <c r="P314" s="937">
        <v>44526</v>
      </c>
      <c r="Q314" s="937">
        <v>44526</v>
      </c>
      <c r="R314" s="1034" t="s">
        <v>4223</v>
      </c>
      <c r="S314" s="943"/>
      <c r="T314" s="1564"/>
      <c r="U314" s="936"/>
    </row>
    <row r="315" spans="1:21" ht="40.5" customHeight="1">
      <c r="A315" s="936" t="s">
        <v>2479</v>
      </c>
      <c r="B315" s="937">
        <v>44526</v>
      </c>
      <c r="C315" s="936">
        <f t="shared" si="23"/>
        <v>1</v>
      </c>
      <c r="D315" s="936">
        <f t="shared" si="24"/>
        <v>6</v>
      </c>
      <c r="E315" s="936"/>
      <c r="F315" s="936">
        <f t="shared" si="22"/>
        <v>23</v>
      </c>
      <c r="G315" s="1035" t="s">
        <v>5240</v>
      </c>
      <c r="H315" s="939"/>
      <c r="I315" s="939" t="s">
        <v>2313</v>
      </c>
      <c r="J315" s="1752"/>
      <c r="K315" s="176"/>
      <c r="L315" s="5"/>
      <c r="M315" s="1199" t="s">
        <v>5336</v>
      </c>
      <c r="N315" s="3" t="s">
        <v>2666</v>
      </c>
      <c r="O315" s="939" t="s">
        <v>268</v>
      </c>
      <c r="P315" s="937">
        <v>44526</v>
      </c>
      <c r="Q315" s="937">
        <v>44526</v>
      </c>
      <c r="R315" s="1034" t="s">
        <v>4223</v>
      </c>
      <c r="S315" s="943"/>
      <c r="T315" s="1564"/>
      <c r="U315" s="936"/>
    </row>
    <row r="316" spans="1:21" ht="40.5" customHeight="1">
      <c r="A316" s="936" t="s">
        <v>2479</v>
      </c>
      <c r="B316" s="937">
        <v>44526</v>
      </c>
      <c r="C316" s="936">
        <f t="shared" si="23"/>
        <v>1</v>
      </c>
      <c r="D316" s="936">
        <f t="shared" si="24"/>
        <v>6</v>
      </c>
      <c r="E316" s="945" t="s">
        <v>5002</v>
      </c>
      <c r="F316" s="936">
        <f t="shared" si="22"/>
        <v>24</v>
      </c>
      <c r="G316" s="1035" t="s">
        <v>5241</v>
      </c>
      <c r="H316" s="939"/>
      <c r="I316" s="939" t="s">
        <v>550</v>
      </c>
      <c r="J316" s="1752" t="s">
        <v>5792</v>
      </c>
      <c r="K316" s="176">
        <v>44880</v>
      </c>
      <c r="L316" s="5">
        <v>44926</v>
      </c>
      <c r="M316" s="1199" t="s">
        <v>4749</v>
      </c>
      <c r="N316" s="3" t="s">
        <v>2666</v>
      </c>
      <c r="O316" s="939" t="s">
        <v>268</v>
      </c>
      <c r="P316" s="937">
        <v>44526</v>
      </c>
      <c r="Q316" s="937">
        <v>44526</v>
      </c>
      <c r="R316" s="1034" t="s">
        <v>4223</v>
      </c>
      <c r="S316" s="943"/>
      <c r="T316" s="1747"/>
      <c r="U316" s="936"/>
    </row>
    <row r="317" spans="1:21" ht="40.5" customHeight="1">
      <c r="A317" s="936" t="s">
        <v>2479</v>
      </c>
      <c r="B317" s="937">
        <v>44526</v>
      </c>
      <c r="C317" s="936">
        <f t="shared" si="23"/>
        <v>1</v>
      </c>
      <c r="D317" s="936">
        <f t="shared" si="24"/>
        <v>6</v>
      </c>
      <c r="E317" s="936"/>
      <c r="F317" s="936">
        <f t="shared" si="22"/>
        <v>25</v>
      </c>
      <c r="G317" s="1035" t="s">
        <v>5242</v>
      </c>
      <c r="H317" s="939"/>
      <c r="I317" s="939" t="s">
        <v>2313</v>
      </c>
      <c r="J317" s="1752"/>
      <c r="K317" s="176"/>
      <c r="L317" s="5"/>
      <c r="M317" s="1199" t="s">
        <v>5337</v>
      </c>
      <c r="N317" s="3" t="s">
        <v>2666</v>
      </c>
      <c r="O317" s="939" t="s">
        <v>268</v>
      </c>
      <c r="P317" s="937">
        <v>44526</v>
      </c>
      <c r="Q317" s="937">
        <v>44526</v>
      </c>
      <c r="R317" s="1034" t="s">
        <v>4223</v>
      </c>
      <c r="S317" s="943"/>
      <c r="T317" s="1564"/>
      <c r="U317" s="936"/>
    </row>
    <row r="318" spans="1:21" ht="63.75" customHeight="1">
      <c r="A318" s="936" t="s">
        <v>2479</v>
      </c>
      <c r="B318" s="937">
        <v>44526</v>
      </c>
      <c r="C318" s="936">
        <f t="shared" si="23"/>
        <v>1</v>
      </c>
      <c r="D318" s="936">
        <f t="shared" si="24"/>
        <v>6</v>
      </c>
      <c r="E318" s="936"/>
      <c r="F318" s="936">
        <f t="shared" si="22"/>
        <v>26</v>
      </c>
      <c r="G318" s="1035" t="s">
        <v>5243</v>
      </c>
      <c r="H318" s="939"/>
      <c r="I318" s="939" t="s">
        <v>2313</v>
      </c>
      <c r="J318" s="1752"/>
      <c r="K318" s="176"/>
      <c r="L318" s="5"/>
      <c r="M318" s="1199" t="s">
        <v>4079</v>
      </c>
      <c r="N318" s="3" t="s">
        <v>2666</v>
      </c>
      <c r="O318" s="939" t="s">
        <v>268</v>
      </c>
      <c r="P318" s="937">
        <v>44526</v>
      </c>
      <c r="Q318" s="937">
        <v>44526</v>
      </c>
      <c r="R318" s="1034" t="s">
        <v>4223</v>
      </c>
      <c r="S318" s="943"/>
      <c r="T318" s="1564"/>
      <c r="U318" s="936"/>
    </row>
    <row r="319" spans="1:21" ht="40.5" customHeight="1">
      <c r="A319" s="936" t="s">
        <v>2479</v>
      </c>
      <c r="B319" s="937">
        <v>44526</v>
      </c>
      <c r="C319" s="936">
        <f t="shared" si="23"/>
        <v>1</v>
      </c>
      <c r="D319" s="936">
        <f t="shared" si="24"/>
        <v>6</v>
      </c>
      <c r="E319" s="936"/>
      <c r="F319" s="936">
        <f t="shared" si="22"/>
        <v>27</v>
      </c>
      <c r="G319" s="1035" t="s">
        <v>5244</v>
      </c>
      <c r="H319" s="939"/>
      <c r="I319" s="939" t="s">
        <v>2313</v>
      </c>
      <c r="J319" s="1752"/>
      <c r="K319" s="176"/>
      <c r="L319" s="5"/>
      <c r="M319" s="1199" t="s">
        <v>5338</v>
      </c>
      <c r="N319" s="3" t="s">
        <v>2666</v>
      </c>
      <c r="O319" s="939" t="s">
        <v>268</v>
      </c>
      <c r="P319" s="937">
        <v>44526</v>
      </c>
      <c r="Q319" s="937">
        <v>44526</v>
      </c>
      <c r="R319" s="1034" t="s">
        <v>4223</v>
      </c>
      <c r="S319" s="943"/>
      <c r="T319" s="1564"/>
      <c r="U319" s="936"/>
    </row>
    <row r="320" spans="1:21" ht="51" customHeight="1">
      <c r="A320" s="936" t="s">
        <v>2479</v>
      </c>
      <c r="B320" s="937">
        <v>44526</v>
      </c>
      <c r="C320" s="936">
        <f t="shared" si="23"/>
        <v>1</v>
      </c>
      <c r="D320" s="936">
        <f t="shared" si="24"/>
        <v>6</v>
      </c>
      <c r="E320" s="936"/>
      <c r="F320" s="936">
        <f t="shared" si="22"/>
        <v>28</v>
      </c>
      <c r="G320" s="1035" t="s">
        <v>5245</v>
      </c>
      <c r="H320" s="939"/>
      <c r="I320" s="939" t="s">
        <v>2313</v>
      </c>
      <c r="J320" s="1752"/>
      <c r="K320" s="176"/>
      <c r="L320" s="5"/>
      <c r="M320" s="1199" t="s">
        <v>3149</v>
      </c>
      <c r="N320" s="3" t="s">
        <v>2666</v>
      </c>
      <c r="O320" s="939" t="s">
        <v>268</v>
      </c>
      <c r="P320" s="937">
        <v>44526</v>
      </c>
      <c r="Q320" s="937">
        <v>44526</v>
      </c>
      <c r="R320" s="1034" t="s">
        <v>4223</v>
      </c>
      <c r="S320" s="943"/>
      <c r="T320" s="1564"/>
      <c r="U320" s="936"/>
    </row>
    <row r="321" spans="1:21" ht="40.5" customHeight="1">
      <c r="A321" s="936" t="s">
        <v>2479</v>
      </c>
      <c r="B321" s="937">
        <v>44526</v>
      </c>
      <c r="C321" s="936">
        <f t="shared" si="23"/>
        <v>1</v>
      </c>
      <c r="D321" s="936">
        <f t="shared" si="24"/>
        <v>6</v>
      </c>
      <c r="E321" s="936"/>
      <c r="F321" s="936">
        <f t="shared" si="22"/>
        <v>29</v>
      </c>
      <c r="G321" s="1035" t="s">
        <v>5246</v>
      </c>
      <c r="H321" s="939"/>
      <c r="I321" s="939" t="s">
        <v>2313</v>
      </c>
      <c r="J321" s="1752"/>
      <c r="K321" s="176"/>
      <c r="L321" s="5"/>
      <c r="M321" s="1199" t="s">
        <v>2685</v>
      </c>
      <c r="N321" s="3" t="s">
        <v>2666</v>
      </c>
      <c r="O321" s="939" t="s">
        <v>268</v>
      </c>
      <c r="P321" s="937">
        <v>44526</v>
      </c>
      <c r="Q321" s="937">
        <v>44526</v>
      </c>
      <c r="R321" s="1034" t="s">
        <v>4223</v>
      </c>
      <c r="S321" s="943"/>
      <c r="T321" s="1564"/>
      <c r="U321" s="936"/>
    </row>
    <row r="322" spans="1:21" ht="40.5" customHeight="1">
      <c r="A322" s="936" t="s">
        <v>2479</v>
      </c>
      <c r="B322" s="937">
        <v>44526</v>
      </c>
      <c r="C322" s="936">
        <f t="shared" si="23"/>
        <v>1</v>
      </c>
      <c r="D322" s="936">
        <f t="shared" si="24"/>
        <v>6</v>
      </c>
      <c r="E322" s="936"/>
      <c r="F322" s="936">
        <f t="shared" si="22"/>
        <v>30</v>
      </c>
      <c r="G322" s="1035" t="s">
        <v>5247</v>
      </c>
      <c r="H322" s="939"/>
      <c r="I322" s="939" t="s">
        <v>2313</v>
      </c>
      <c r="J322" s="1752"/>
      <c r="K322" s="176"/>
      <c r="L322" s="5"/>
      <c r="M322" s="1199" t="s">
        <v>4749</v>
      </c>
      <c r="N322" s="3" t="s">
        <v>4509</v>
      </c>
      <c r="O322" s="939" t="s">
        <v>268</v>
      </c>
      <c r="P322" s="937">
        <v>44526</v>
      </c>
      <c r="Q322" s="937">
        <v>44526</v>
      </c>
      <c r="R322" s="1034" t="s">
        <v>4223</v>
      </c>
      <c r="S322" s="943"/>
      <c r="T322" s="1564"/>
      <c r="U322" s="936"/>
    </row>
    <row r="323" spans="1:21" ht="40.5" customHeight="1">
      <c r="A323" s="936" t="s">
        <v>2479</v>
      </c>
      <c r="B323" s="937">
        <v>44526</v>
      </c>
      <c r="C323" s="936">
        <f t="shared" si="23"/>
        <v>1</v>
      </c>
      <c r="D323" s="936">
        <f t="shared" si="24"/>
        <v>6</v>
      </c>
      <c r="E323" s="936"/>
      <c r="F323" s="936">
        <f t="shared" si="22"/>
        <v>31</v>
      </c>
      <c r="G323" s="1035" t="s">
        <v>5249</v>
      </c>
      <c r="H323" s="939"/>
      <c r="I323" s="939" t="s">
        <v>2313</v>
      </c>
      <c r="J323" s="1752"/>
      <c r="K323" s="176"/>
      <c r="L323" s="5"/>
      <c r="M323" s="1199" t="s">
        <v>5328</v>
      </c>
      <c r="N323" s="3" t="s">
        <v>1975</v>
      </c>
      <c r="O323" s="939" t="s">
        <v>76</v>
      </c>
      <c r="P323" s="937">
        <v>44526</v>
      </c>
      <c r="Q323" s="937">
        <v>44526</v>
      </c>
      <c r="R323" s="1034" t="s">
        <v>4223</v>
      </c>
      <c r="S323" s="943"/>
      <c r="T323" s="1564"/>
      <c r="U323" s="936"/>
    </row>
    <row r="324" spans="1:21" ht="40.5" customHeight="1">
      <c r="A324" s="936" t="s">
        <v>2479</v>
      </c>
      <c r="B324" s="937">
        <v>44526</v>
      </c>
      <c r="C324" s="936">
        <f t="shared" si="23"/>
        <v>1</v>
      </c>
      <c r="D324" s="936">
        <f t="shared" si="24"/>
        <v>6</v>
      </c>
      <c r="E324" s="936"/>
      <c r="F324" s="936">
        <f t="shared" si="22"/>
        <v>32</v>
      </c>
      <c r="G324" s="1035" t="s">
        <v>5250</v>
      </c>
      <c r="H324" s="939"/>
      <c r="I324" s="939" t="s">
        <v>2313</v>
      </c>
      <c r="J324" s="1752"/>
      <c r="K324" s="176"/>
      <c r="L324" s="5"/>
      <c r="M324" s="1199" t="s">
        <v>5325</v>
      </c>
      <c r="N324" s="3" t="s">
        <v>1975</v>
      </c>
      <c r="O324" s="939" t="s">
        <v>268</v>
      </c>
      <c r="P324" s="937">
        <v>44526</v>
      </c>
      <c r="Q324" s="937">
        <v>44526</v>
      </c>
      <c r="R324" s="1034" t="s">
        <v>4223</v>
      </c>
      <c r="S324" s="943"/>
      <c r="T324" s="1564"/>
      <c r="U324" s="936"/>
    </row>
    <row r="325" spans="1:21" ht="52.5" customHeight="1">
      <c r="A325" s="936" t="s">
        <v>2479</v>
      </c>
      <c r="B325" s="937">
        <v>44526</v>
      </c>
      <c r="C325" s="936">
        <f t="shared" si="23"/>
        <v>1</v>
      </c>
      <c r="D325" s="936">
        <f t="shared" si="24"/>
        <v>6</v>
      </c>
      <c r="E325" s="936"/>
      <c r="F325" s="936">
        <f t="shared" si="22"/>
        <v>33</v>
      </c>
      <c r="G325" s="1035" t="s">
        <v>5251</v>
      </c>
      <c r="H325" s="939"/>
      <c r="I325" s="939" t="s">
        <v>2313</v>
      </c>
      <c r="J325" s="1752"/>
      <c r="K325" s="176"/>
      <c r="L325" s="5"/>
      <c r="M325" s="1199" t="s">
        <v>4803</v>
      </c>
      <c r="N325" s="3" t="s">
        <v>1975</v>
      </c>
      <c r="O325" s="939" t="s">
        <v>268</v>
      </c>
      <c r="P325" s="937">
        <v>44526</v>
      </c>
      <c r="Q325" s="937">
        <v>44526</v>
      </c>
      <c r="R325" s="1034" t="s">
        <v>4223</v>
      </c>
      <c r="S325" s="943"/>
      <c r="T325" s="1564"/>
      <c r="U325" s="936"/>
    </row>
    <row r="326" spans="1:21" ht="40.5" customHeight="1">
      <c r="A326" s="936" t="s">
        <v>2479</v>
      </c>
      <c r="B326" s="937">
        <v>44526</v>
      </c>
      <c r="C326" s="936">
        <f t="shared" si="23"/>
        <v>1</v>
      </c>
      <c r="D326" s="936">
        <f t="shared" si="24"/>
        <v>6</v>
      </c>
      <c r="E326" s="936"/>
      <c r="F326" s="936">
        <f t="shared" ref="F326:F357" si="25">F325+1</f>
        <v>34</v>
      </c>
      <c r="G326" s="1035" t="s">
        <v>5252</v>
      </c>
      <c r="H326" s="939"/>
      <c r="I326" s="939" t="s">
        <v>2313</v>
      </c>
      <c r="J326" s="1752"/>
      <c r="K326" s="176"/>
      <c r="L326" s="5"/>
      <c r="M326" s="1199" t="s">
        <v>2482</v>
      </c>
      <c r="N326" s="3" t="s">
        <v>1975</v>
      </c>
      <c r="O326" s="939" t="s">
        <v>268</v>
      </c>
      <c r="P326" s="937">
        <v>44526</v>
      </c>
      <c r="Q326" s="937">
        <v>44526</v>
      </c>
      <c r="R326" s="1034" t="s">
        <v>4223</v>
      </c>
      <c r="S326" s="943"/>
      <c r="T326" s="1564"/>
      <c r="U326" s="936"/>
    </row>
    <row r="327" spans="1:21" ht="40.5" customHeight="1">
      <c r="A327" s="936" t="s">
        <v>2479</v>
      </c>
      <c r="B327" s="937">
        <v>44526</v>
      </c>
      <c r="C327" s="936">
        <f t="shared" si="23"/>
        <v>1</v>
      </c>
      <c r="D327" s="936">
        <f t="shared" si="24"/>
        <v>6</v>
      </c>
      <c r="E327" s="936"/>
      <c r="F327" s="936">
        <f t="shared" si="25"/>
        <v>35</v>
      </c>
      <c r="G327" s="1035" t="s">
        <v>5253</v>
      </c>
      <c r="H327" s="939"/>
      <c r="I327" s="939" t="s">
        <v>2313</v>
      </c>
      <c r="J327" s="1752"/>
      <c r="K327" s="176"/>
      <c r="L327" s="5"/>
      <c r="M327" s="1199" t="s">
        <v>5339</v>
      </c>
      <c r="N327" s="3" t="s">
        <v>1975</v>
      </c>
      <c r="O327" s="939" t="s">
        <v>268</v>
      </c>
      <c r="P327" s="937">
        <v>44526</v>
      </c>
      <c r="Q327" s="937">
        <v>44526</v>
      </c>
      <c r="R327" s="1034" t="s">
        <v>4223</v>
      </c>
      <c r="S327" s="943"/>
      <c r="T327" s="1564"/>
      <c r="U327" s="936"/>
    </row>
    <row r="328" spans="1:21" ht="71.25" customHeight="1">
      <c r="A328" s="936" t="s">
        <v>2479</v>
      </c>
      <c r="B328" s="937">
        <v>44526</v>
      </c>
      <c r="C328" s="936">
        <f t="shared" ref="C328:C359" si="26">C327</f>
        <v>1</v>
      </c>
      <c r="D328" s="936">
        <f t="shared" si="24"/>
        <v>6</v>
      </c>
      <c r="E328" s="936"/>
      <c r="F328" s="936">
        <f t="shared" si="25"/>
        <v>36</v>
      </c>
      <c r="G328" s="1035" t="s">
        <v>5254</v>
      </c>
      <c r="H328" s="939"/>
      <c r="I328" s="939" t="s">
        <v>2313</v>
      </c>
      <c r="J328" s="1752"/>
      <c r="K328" s="176"/>
      <c r="L328" s="5"/>
      <c r="M328" s="1199" t="s">
        <v>5322</v>
      </c>
      <c r="N328" s="3" t="s">
        <v>1975</v>
      </c>
      <c r="O328" s="939" t="s">
        <v>5223</v>
      </c>
      <c r="P328" s="937">
        <v>44526</v>
      </c>
      <c r="Q328" s="937">
        <v>44526</v>
      </c>
      <c r="R328" s="1034" t="s">
        <v>4223</v>
      </c>
      <c r="S328" s="943"/>
      <c r="T328" s="1564"/>
      <c r="U328" s="936"/>
    </row>
    <row r="329" spans="1:21" ht="57.75" customHeight="1">
      <c r="A329" s="936" t="s">
        <v>2479</v>
      </c>
      <c r="B329" s="937">
        <v>44526</v>
      </c>
      <c r="C329" s="936">
        <f t="shared" si="26"/>
        <v>1</v>
      </c>
      <c r="D329" s="936">
        <f t="shared" ref="D329:D360" si="27">D328</f>
        <v>6</v>
      </c>
      <c r="E329" s="936"/>
      <c r="F329" s="936">
        <f t="shared" si="25"/>
        <v>37</v>
      </c>
      <c r="G329" s="1035" t="s">
        <v>5255</v>
      </c>
      <c r="H329" s="939"/>
      <c r="I329" s="939" t="s">
        <v>2313</v>
      </c>
      <c r="J329" s="1752"/>
      <c r="K329" s="176"/>
      <c r="L329" s="5"/>
      <c r="M329" s="1199" t="s">
        <v>4690</v>
      </c>
      <c r="N329" s="3" t="s">
        <v>1975</v>
      </c>
      <c r="O329" s="939" t="s">
        <v>268</v>
      </c>
      <c r="P329" s="937">
        <v>44526</v>
      </c>
      <c r="Q329" s="937">
        <v>44526</v>
      </c>
      <c r="R329" s="1034" t="s">
        <v>4223</v>
      </c>
      <c r="S329" s="943"/>
      <c r="T329" s="1564"/>
      <c r="U329" s="936"/>
    </row>
    <row r="330" spans="1:21" ht="72" customHeight="1">
      <c r="A330" s="936" t="s">
        <v>2479</v>
      </c>
      <c r="B330" s="937">
        <v>44526</v>
      </c>
      <c r="C330" s="936">
        <f t="shared" si="26"/>
        <v>1</v>
      </c>
      <c r="D330" s="936">
        <f t="shared" si="27"/>
        <v>6</v>
      </c>
      <c r="E330" s="936"/>
      <c r="F330" s="936">
        <f t="shared" si="25"/>
        <v>38</v>
      </c>
      <c r="G330" s="1035" t="s">
        <v>5256</v>
      </c>
      <c r="H330" s="939"/>
      <c r="I330" s="939" t="s">
        <v>2313</v>
      </c>
      <c r="J330" s="1752"/>
      <c r="K330" s="176"/>
      <c r="L330" s="5"/>
      <c r="M330" s="1199" t="s">
        <v>4796</v>
      </c>
      <c r="N330" s="3" t="s">
        <v>1975</v>
      </c>
      <c r="O330" s="939" t="s">
        <v>5223</v>
      </c>
      <c r="P330" s="937">
        <v>44526</v>
      </c>
      <c r="Q330" s="937">
        <v>44526</v>
      </c>
      <c r="R330" s="1034" t="s">
        <v>4223</v>
      </c>
      <c r="S330" s="943"/>
      <c r="T330" s="1564"/>
      <c r="U330" s="936"/>
    </row>
    <row r="331" spans="1:21" ht="40.5" customHeight="1">
      <c r="A331" s="936" t="s">
        <v>2479</v>
      </c>
      <c r="B331" s="937">
        <v>44526</v>
      </c>
      <c r="C331" s="936">
        <f t="shared" si="26"/>
        <v>1</v>
      </c>
      <c r="D331" s="936">
        <f t="shared" si="27"/>
        <v>6</v>
      </c>
      <c r="E331" s="936"/>
      <c r="F331" s="936">
        <f t="shared" si="25"/>
        <v>39</v>
      </c>
      <c r="G331" s="1035" t="s">
        <v>5257</v>
      </c>
      <c r="H331" s="939"/>
      <c r="I331" s="939" t="s">
        <v>2313</v>
      </c>
      <c r="J331" s="1752"/>
      <c r="K331" s="176"/>
      <c r="L331" s="5"/>
      <c r="M331" s="1199" t="s">
        <v>4663</v>
      </c>
      <c r="N331" s="3" t="s">
        <v>1975</v>
      </c>
      <c r="O331" s="939" t="s">
        <v>268</v>
      </c>
      <c r="P331" s="937">
        <v>44526</v>
      </c>
      <c r="Q331" s="937">
        <v>44526</v>
      </c>
      <c r="R331" s="1034" t="s">
        <v>4223</v>
      </c>
      <c r="S331" s="943"/>
      <c r="T331" s="1564"/>
      <c r="U331" s="936"/>
    </row>
    <row r="332" spans="1:21" ht="53.25" customHeight="1">
      <c r="A332" s="936" t="s">
        <v>2479</v>
      </c>
      <c r="B332" s="937">
        <v>44526</v>
      </c>
      <c r="C332" s="936">
        <f t="shared" si="26"/>
        <v>1</v>
      </c>
      <c r="D332" s="936">
        <f t="shared" si="27"/>
        <v>6</v>
      </c>
      <c r="E332" s="936"/>
      <c r="F332" s="936">
        <f t="shared" si="25"/>
        <v>40</v>
      </c>
      <c r="G332" s="1035" t="s">
        <v>5258</v>
      </c>
      <c r="H332" s="939"/>
      <c r="I332" s="939" t="s">
        <v>2313</v>
      </c>
      <c r="J332" s="1752"/>
      <c r="K332" s="176"/>
      <c r="L332" s="5"/>
      <c r="M332" s="1199" t="s">
        <v>5340</v>
      </c>
      <c r="N332" s="3" t="s">
        <v>1975</v>
      </c>
      <c r="O332" s="939" t="s">
        <v>268</v>
      </c>
      <c r="P332" s="937">
        <v>44526</v>
      </c>
      <c r="Q332" s="937">
        <v>44526</v>
      </c>
      <c r="R332" s="1034" t="s">
        <v>4223</v>
      </c>
      <c r="S332" s="943"/>
      <c r="T332" s="1564"/>
      <c r="U332" s="936"/>
    </row>
    <row r="333" spans="1:21" ht="69.75" customHeight="1">
      <c r="A333" s="936" t="s">
        <v>2479</v>
      </c>
      <c r="B333" s="937">
        <v>44526</v>
      </c>
      <c r="C333" s="936">
        <f t="shared" si="26"/>
        <v>1</v>
      </c>
      <c r="D333" s="936">
        <f t="shared" si="27"/>
        <v>6</v>
      </c>
      <c r="E333" s="936"/>
      <c r="F333" s="936">
        <f t="shared" si="25"/>
        <v>41</v>
      </c>
      <c r="G333" s="1035" t="s">
        <v>5259</v>
      </c>
      <c r="H333" s="939"/>
      <c r="I333" s="939" t="s">
        <v>2313</v>
      </c>
      <c r="J333" s="1752"/>
      <c r="K333" s="176"/>
      <c r="L333" s="5"/>
      <c r="M333" s="1199" t="s">
        <v>4823</v>
      </c>
      <c r="N333" s="3" t="s">
        <v>1975</v>
      </c>
      <c r="O333" s="939" t="s">
        <v>76</v>
      </c>
      <c r="P333" s="937">
        <v>44526</v>
      </c>
      <c r="Q333" s="937">
        <v>44526</v>
      </c>
      <c r="R333" s="1034" t="s">
        <v>4223</v>
      </c>
      <c r="S333" s="943"/>
      <c r="T333" s="1564"/>
      <c r="U333" s="936"/>
    </row>
    <row r="334" spans="1:21" ht="63.75" customHeight="1">
      <c r="A334" s="936" t="s">
        <v>2479</v>
      </c>
      <c r="B334" s="937">
        <v>44526</v>
      </c>
      <c r="C334" s="936">
        <f t="shared" si="26"/>
        <v>1</v>
      </c>
      <c r="D334" s="936">
        <f t="shared" si="27"/>
        <v>6</v>
      </c>
      <c r="E334" s="936"/>
      <c r="F334" s="936">
        <f t="shared" si="25"/>
        <v>42</v>
      </c>
      <c r="G334" s="1035" t="s">
        <v>5260</v>
      </c>
      <c r="H334" s="939"/>
      <c r="I334" s="939" t="s">
        <v>2313</v>
      </c>
      <c r="J334" s="1752"/>
      <c r="K334" s="176"/>
      <c r="L334" s="5"/>
      <c r="M334" s="1199" t="s">
        <v>4775</v>
      </c>
      <c r="N334" s="3" t="s">
        <v>1975</v>
      </c>
      <c r="O334" s="939" t="s">
        <v>268</v>
      </c>
      <c r="P334" s="937">
        <v>44526</v>
      </c>
      <c r="Q334" s="937">
        <v>44526</v>
      </c>
      <c r="R334" s="1034" t="s">
        <v>4223</v>
      </c>
      <c r="S334" s="943"/>
      <c r="T334" s="1564"/>
      <c r="U334" s="936"/>
    </row>
    <row r="335" spans="1:21" ht="56.25" customHeight="1">
      <c r="A335" s="936" t="s">
        <v>2479</v>
      </c>
      <c r="B335" s="937">
        <v>44526</v>
      </c>
      <c r="C335" s="936">
        <f t="shared" si="26"/>
        <v>1</v>
      </c>
      <c r="D335" s="936">
        <f t="shared" si="27"/>
        <v>6</v>
      </c>
      <c r="E335" s="936"/>
      <c r="F335" s="936">
        <f t="shared" si="25"/>
        <v>43</v>
      </c>
      <c r="G335" s="1035" t="s">
        <v>5261</v>
      </c>
      <c r="H335" s="939"/>
      <c r="I335" s="939" t="s">
        <v>2313</v>
      </c>
      <c r="J335" s="1752"/>
      <c r="K335" s="176"/>
      <c r="L335" s="5"/>
      <c r="M335" s="1199" t="s">
        <v>4645</v>
      </c>
      <c r="N335" s="3" t="s">
        <v>1975</v>
      </c>
      <c r="O335" s="939" t="s">
        <v>268</v>
      </c>
      <c r="P335" s="937">
        <v>44526</v>
      </c>
      <c r="Q335" s="937">
        <v>44526</v>
      </c>
      <c r="R335" s="1034" t="s">
        <v>4223</v>
      </c>
      <c r="S335" s="943"/>
      <c r="T335" s="1564"/>
      <c r="U335" s="936"/>
    </row>
    <row r="336" spans="1:21" ht="55.5" customHeight="1">
      <c r="A336" s="936" t="s">
        <v>2479</v>
      </c>
      <c r="B336" s="937">
        <v>44526</v>
      </c>
      <c r="C336" s="936">
        <f t="shared" si="26"/>
        <v>1</v>
      </c>
      <c r="D336" s="936">
        <f t="shared" si="27"/>
        <v>6</v>
      </c>
      <c r="E336" s="936"/>
      <c r="F336" s="936">
        <f t="shared" si="25"/>
        <v>44</v>
      </c>
      <c r="G336" s="1035" t="s">
        <v>5262</v>
      </c>
      <c r="H336" s="939"/>
      <c r="I336" s="939" t="s">
        <v>2313</v>
      </c>
      <c r="J336" s="1752"/>
      <c r="K336" s="176"/>
      <c r="L336" s="5"/>
      <c r="M336" s="1199" t="s">
        <v>5323</v>
      </c>
      <c r="N336" s="3" t="s">
        <v>4413</v>
      </c>
      <c r="O336" s="939" t="s">
        <v>268</v>
      </c>
      <c r="P336" s="937">
        <v>44526</v>
      </c>
      <c r="Q336" s="937">
        <v>44526</v>
      </c>
      <c r="R336" s="1034" t="s">
        <v>4223</v>
      </c>
      <c r="S336" s="943"/>
      <c r="T336" s="1564"/>
      <c r="U336" s="936"/>
    </row>
    <row r="337" spans="1:21" ht="40.5" customHeight="1">
      <c r="A337" s="936" t="s">
        <v>2479</v>
      </c>
      <c r="B337" s="937">
        <v>44526</v>
      </c>
      <c r="C337" s="936">
        <f t="shared" si="26"/>
        <v>1</v>
      </c>
      <c r="D337" s="936">
        <f t="shared" si="27"/>
        <v>6</v>
      </c>
      <c r="E337" s="936"/>
      <c r="F337" s="936">
        <f t="shared" si="25"/>
        <v>45</v>
      </c>
      <c r="G337" s="1035" t="s">
        <v>5263</v>
      </c>
      <c r="H337" s="939"/>
      <c r="I337" s="939" t="s">
        <v>2313</v>
      </c>
      <c r="J337" s="1752"/>
      <c r="K337" s="176"/>
      <c r="L337" s="5"/>
      <c r="M337" s="1199" t="s">
        <v>4697</v>
      </c>
      <c r="N337" s="3" t="s">
        <v>4413</v>
      </c>
      <c r="O337" s="939" t="s">
        <v>268</v>
      </c>
      <c r="P337" s="937">
        <v>44526</v>
      </c>
      <c r="Q337" s="937">
        <v>44526</v>
      </c>
      <c r="R337" s="1034" t="s">
        <v>4223</v>
      </c>
      <c r="S337" s="943"/>
      <c r="T337" s="1564"/>
      <c r="U337" s="936"/>
    </row>
    <row r="338" spans="1:21" ht="40.5" customHeight="1">
      <c r="A338" s="936" t="s">
        <v>2479</v>
      </c>
      <c r="B338" s="937">
        <v>44526</v>
      </c>
      <c r="C338" s="936">
        <f t="shared" si="26"/>
        <v>1</v>
      </c>
      <c r="D338" s="936">
        <f t="shared" si="27"/>
        <v>6</v>
      </c>
      <c r="E338" s="936"/>
      <c r="F338" s="936">
        <f t="shared" si="25"/>
        <v>46</v>
      </c>
      <c r="G338" s="1035" t="s">
        <v>5264</v>
      </c>
      <c r="H338" s="939"/>
      <c r="I338" s="939" t="s">
        <v>2313</v>
      </c>
      <c r="J338" s="1752"/>
      <c r="K338" s="176"/>
      <c r="L338" s="5"/>
      <c r="M338" s="1199" t="s">
        <v>4686</v>
      </c>
      <c r="N338" s="3" t="s">
        <v>4413</v>
      </c>
      <c r="O338" s="939" t="s">
        <v>268</v>
      </c>
      <c r="P338" s="937">
        <v>44526</v>
      </c>
      <c r="Q338" s="937">
        <v>44526</v>
      </c>
      <c r="R338" s="1034" t="s">
        <v>4223</v>
      </c>
      <c r="S338" s="943"/>
      <c r="T338" s="1564"/>
      <c r="U338" s="936"/>
    </row>
    <row r="339" spans="1:21" ht="40.5" customHeight="1">
      <c r="A339" s="936" t="s">
        <v>2479</v>
      </c>
      <c r="B339" s="937">
        <v>44526</v>
      </c>
      <c r="C339" s="936">
        <f t="shared" si="26"/>
        <v>1</v>
      </c>
      <c r="D339" s="936">
        <f t="shared" si="27"/>
        <v>6</v>
      </c>
      <c r="E339" s="936"/>
      <c r="F339" s="936">
        <f t="shared" si="25"/>
        <v>47</v>
      </c>
      <c r="G339" s="1035" t="s">
        <v>5265</v>
      </c>
      <c r="H339" s="939"/>
      <c r="I339" s="939" t="s">
        <v>2313</v>
      </c>
      <c r="J339" s="1752"/>
      <c r="K339" s="176"/>
      <c r="L339" s="5"/>
      <c r="M339" s="1199"/>
      <c r="N339" s="3" t="s">
        <v>4413</v>
      </c>
      <c r="O339" s="939" t="s">
        <v>268</v>
      </c>
      <c r="P339" s="937">
        <v>44526</v>
      </c>
      <c r="Q339" s="937">
        <v>44526</v>
      </c>
      <c r="R339" s="1034" t="s">
        <v>4223</v>
      </c>
      <c r="S339" s="943"/>
      <c r="T339" s="1564"/>
      <c r="U339" s="936"/>
    </row>
    <row r="340" spans="1:21" ht="60" customHeight="1">
      <c r="A340" s="936" t="s">
        <v>2479</v>
      </c>
      <c r="B340" s="937">
        <v>44526</v>
      </c>
      <c r="C340" s="936">
        <f t="shared" si="26"/>
        <v>1</v>
      </c>
      <c r="D340" s="936">
        <f t="shared" si="27"/>
        <v>6</v>
      </c>
      <c r="E340" s="936"/>
      <c r="F340" s="936">
        <f t="shared" si="25"/>
        <v>48</v>
      </c>
      <c r="G340" s="1035" t="s">
        <v>5266</v>
      </c>
      <c r="H340" s="939"/>
      <c r="I340" s="939" t="s">
        <v>2313</v>
      </c>
      <c r="J340" s="1752"/>
      <c r="K340" s="176"/>
      <c r="L340" s="5"/>
      <c r="M340" s="1199" t="s">
        <v>5341</v>
      </c>
      <c r="N340" s="3" t="s">
        <v>4413</v>
      </c>
      <c r="O340" s="939" t="s">
        <v>268</v>
      </c>
      <c r="P340" s="937">
        <v>44526</v>
      </c>
      <c r="Q340" s="937">
        <v>44526</v>
      </c>
      <c r="R340" s="1034" t="s">
        <v>4223</v>
      </c>
      <c r="S340" s="943"/>
      <c r="T340" s="1564"/>
      <c r="U340" s="936"/>
    </row>
    <row r="341" spans="1:21" ht="40.5" customHeight="1">
      <c r="A341" s="936" t="s">
        <v>2479</v>
      </c>
      <c r="B341" s="937">
        <v>44526</v>
      </c>
      <c r="C341" s="936">
        <f t="shared" si="26"/>
        <v>1</v>
      </c>
      <c r="D341" s="936">
        <f t="shared" si="27"/>
        <v>6</v>
      </c>
      <c r="E341" s="936"/>
      <c r="F341" s="936">
        <f t="shared" si="25"/>
        <v>49</v>
      </c>
      <c r="G341" s="1035" t="s">
        <v>5267</v>
      </c>
      <c r="H341" s="939"/>
      <c r="I341" s="939" t="s">
        <v>2313</v>
      </c>
      <c r="J341" s="1752"/>
      <c r="K341" s="176"/>
      <c r="L341" s="5"/>
      <c r="M341" s="1199" t="s">
        <v>5342</v>
      </c>
      <c r="N341" s="3" t="s">
        <v>2515</v>
      </c>
      <c r="O341" s="939" t="s">
        <v>268</v>
      </c>
      <c r="P341" s="937">
        <v>44526</v>
      </c>
      <c r="Q341" s="937">
        <v>44526</v>
      </c>
      <c r="R341" s="1034" t="s">
        <v>4223</v>
      </c>
      <c r="S341" s="943"/>
      <c r="T341" s="1564"/>
      <c r="U341" s="936"/>
    </row>
    <row r="342" spans="1:21" ht="40.5" customHeight="1">
      <c r="A342" s="936" t="s">
        <v>2479</v>
      </c>
      <c r="B342" s="937">
        <v>44526</v>
      </c>
      <c r="C342" s="936">
        <f t="shared" si="26"/>
        <v>1</v>
      </c>
      <c r="D342" s="936">
        <f t="shared" si="27"/>
        <v>6</v>
      </c>
      <c r="E342" s="936"/>
      <c r="F342" s="936">
        <f t="shared" si="25"/>
        <v>50</v>
      </c>
      <c r="G342" s="1035" t="s">
        <v>5268</v>
      </c>
      <c r="H342" s="939"/>
      <c r="I342" s="939" t="s">
        <v>2313</v>
      </c>
      <c r="J342" s="1752"/>
      <c r="K342" s="176"/>
      <c r="L342" s="5"/>
      <c r="M342" s="1199" t="s">
        <v>4702</v>
      </c>
      <c r="N342" s="3" t="s">
        <v>2515</v>
      </c>
      <c r="O342" s="939" t="s">
        <v>268</v>
      </c>
      <c r="P342" s="937">
        <v>44526</v>
      </c>
      <c r="Q342" s="937">
        <v>44526</v>
      </c>
      <c r="R342" s="1034" t="s">
        <v>4223</v>
      </c>
      <c r="S342" s="943"/>
      <c r="T342" s="1564"/>
      <c r="U342" s="936"/>
    </row>
    <row r="343" spans="1:21" ht="40.5" customHeight="1">
      <c r="A343" s="936" t="s">
        <v>2479</v>
      </c>
      <c r="B343" s="937">
        <v>44526</v>
      </c>
      <c r="C343" s="936">
        <f t="shared" si="26"/>
        <v>1</v>
      </c>
      <c r="D343" s="936">
        <f t="shared" si="27"/>
        <v>6</v>
      </c>
      <c r="E343" s="945" t="s">
        <v>4052</v>
      </c>
      <c r="F343" s="936">
        <f t="shared" si="25"/>
        <v>51</v>
      </c>
      <c r="G343" s="1035" t="s">
        <v>5269</v>
      </c>
      <c r="H343" s="939"/>
      <c r="I343" s="939" t="s">
        <v>550</v>
      </c>
      <c r="J343" s="1752" t="s">
        <v>5792</v>
      </c>
      <c r="K343" s="176">
        <v>44438</v>
      </c>
      <c r="L343" s="5">
        <v>44452</v>
      </c>
      <c r="M343" s="1199" t="s">
        <v>3146</v>
      </c>
      <c r="N343" s="3" t="s">
        <v>2515</v>
      </c>
      <c r="O343" s="939" t="s">
        <v>268</v>
      </c>
      <c r="P343" s="937">
        <v>44526</v>
      </c>
      <c r="Q343" s="937">
        <v>44526</v>
      </c>
      <c r="R343" s="1034" t="s">
        <v>4223</v>
      </c>
      <c r="S343" s="943"/>
      <c r="T343" s="1747"/>
      <c r="U343" s="936"/>
    </row>
    <row r="344" spans="1:21" ht="40.5" customHeight="1">
      <c r="A344" s="936" t="s">
        <v>2479</v>
      </c>
      <c r="B344" s="937">
        <v>44526</v>
      </c>
      <c r="C344" s="936">
        <f t="shared" si="26"/>
        <v>1</v>
      </c>
      <c r="D344" s="936">
        <f t="shared" si="27"/>
        <v>6</v>
      </c>
      <c r="E344" s="945" t="s">
        <v>4052</v>
      </c>
      <c r="F344" s="936">
        <f t="shared" si="25"/>
        <v>52</v>
      </c>
      <c r="G344" s="1035" t="s">
        <v>5270</v>
      </c>
      <c r="H344" s="939"/>
      <c r="I344" s="939" t="s">
        <v>550</v>
      </c>
      <c r="J344" s="1752" t="s">
        <v>5792</v>
      </c>
      <c r="K344" s="176">
        <v>44438</v>
      </c>
      <c r="L344" s="5">
        <v>44452</v>
      </c>
      <c r="M344" s="1199" t="s">
        <v>4702</v>
      </c>
      <c r="N344" s="3" t="s">
        <v>2515</v>
      </c>
      <c r="O344" s="939" t="s">
        <v>268</v>
      </c>
      <c r="P344" s="937">
        <v>44526</v>
      </c>
      <c r="Q344" s="937">
        <v>44526</v>
      </c>
      <c r="R344" s="1034" t="s">
        <v>4223</v>
      </c>
      <c r="S344" s="943"/>
      <c r="T344" s="1747"/>
      <c r="U344" s="936"/>
    </row>
    <row r="345" spans="1:21" ht="52.5" customHeight="1">
      <c r="A345" s="936" t="s">
        <v>2479</v>
      </c>
      <c r="B345" s="937">
        <v>44526</v>
      </c>
      <c r="C345" s="936">
        <f t="shared" si="26"/>
        <v>1</v>
      </c>
      <c r="D345" s="936">
        <f t="shared" si="27"/>
        <v>6</v>
      </c>
      <c r="E345" s="936"/>
      <c r="F345" s="936">
        <f t="shared" si="25"/>
        <v>53</v>
      </c>
      <c r="G345" s="1035" t="s">
        <v>5271</v>
      </c>
      <c r="H345" s="939"/>
      <c r="I345" s="939" t="s">
        <v>2313</v>
      </c>
      <c r="J345" s="1752"/>
      <c r="K345" s="176"/>
      <c r="L345" s="5"/>
      <c r="M345" s="1199" t="s">
        <v>2573</v>
      </c>
      <c r="N345" s="3" t="s">
        <v>2617</v>
      </c>
      <c r="O345" s="939" t="s">
        <v>268</v>
      </c>
      <c r="P345" s="937">
        <v>44526</v>
      </c>
      <c r="Q345" s="937">
        <v>44526</v>
      </c>
      <c r="R345" s="1034" t="s">
        <v>4223</v>
      </c>
      <c r="S345" s="943"/>
      <c r="T345" s="1564"/>
      <c r="U345" s="936"/>
    </row>
    <row r="346" spans="1:21" ht="40.5" customHeight="1">
      <c r="A346" s="936" t="s">
        <v>2479</v>
      </c>
      <c r="B346" s="937">
        <v>44526</v>
      </c>
      <c r="C346" s="936">
        <f t="shared" si="26"/>
        <v>1</v>
      </c>
      <c r="D346" s="936">
        <f t="shared" si="27"/>
        <v>6</v>
      </c>
      <c r="E346" s="936"/>
      <c r="F346" s="936">
        <f t="shared" si="25"/>
        <v>54</v>
      </c>
      <c r="G346" s="1035" t="s">
        <v>5272</v>
      </c>
      <c r="H346" s="939"/>
      <c r="I346" s="939" t="s">
        <v>2313</v>
      </c>
      <c r="J346" s="1752"/>
      <c r="K346" s="176"/>
      <c r="L346" s="5"/>
      <c r="M346" s="1199" t="s">
        <v>5343</v>
      </c>
      <c r="N346" s="3" t="s">
        <v>2617</v>
      </c>
      <c r="O346" s="939" t="s">
        <v>268</v>
      </c>
      <c r="P346" s="937">
        <v>44526</v>
      </c>
      <c r="Q346" s="937">
        <v>44526</v>
      </c>
      <c r="R346" s="1034" t="s">
        <v>4223</v>
      </c>
      <c r="S346" s="943"/>
      <c r="T346" s="1564"/>
      <c r="U346" s="936"/>
    </row>
    <row r="347" spans="1:21" ht="40.5" customHeight="1">
      <c r="A347" s="936" t="s">
        <v>2479</v>
      </c>
      <c r="B347" s="937">
        <v>44526</v>
      </c>
      <c r="C347" s="936">
        <f t="shared" si="26"/>
        <v>1</v>
      </c>
      <c r="D347" s="936">
        <f t="shared" si="27"/>
        <v>6</v>
      </c>
      <c r="E347" s="936"/>
      <c r="F347" s="936">
        <f t="shared" si="25"/>
        <v>55</v>
      </c>
      <c r="G347" s="1035" t="s">
        <v>5273</v>
      </c>
      <c r="H347" s="939"/>
      <c r="I347" s="939" t="s">
        <v>2313</v>
      </c>
      <c r="J347" s="1752"/>
      <c r="K347" s="176"/>
      <c r="L347" s="5"/>
      <c r="M347" s="1199" t="s">
        <v>2538</v>
      </c>
      <c r="N347" s="3" t="s">
        <v>2617</v>
      </c>
      <c r="O347" s="939" t="s">
        <v>268</v>
      </c>
      <c r="P347" s="937">
        <v>44526</v>
      </c>
      <c r="Q347" s="937">
        <v>44526</v>
      </c>
      <c r="R347" s="1034" t="s">
        <v>4223</v>
      </c>
      <c r="S347" s="943"/>
      <c r="T347" s="1564"/>
      <c r="U347" s="936"/>
    </row>
    <row r="348" spans="1:21" ht="40.5" customHeight="1">
      <c r="A348" s="936" t="s">
        <v>2479</v>
      </c>
      <c r="B348" s="937">
        <v>44526</v>
      </c>
      <c r="C348" s="936">
        <f t="shared" si="26"/>
        <v>1</v>
      </c>
      <c r="D348" s="936">
        <f t="shared" si="27"/>
        <v>6</v>
      </c>
      <c r="E348" s="936"/>
      <c r="F348" s="936">
        <f t="shared" si="25"/>
        <v>56</v>
      </c>
      <c r="G348" s="1035" t="s">
        <v>5274</v>
      </c>
      <c r="H348" s="939"/>
      <c r="I348" s="939" t="s">
        <v>2313</v>
      </c>
      <c r="J348" s="1752"/>
      <c r="K348" s="176"/>
      <c r="L348" s="5"/>
      <c r="M348" s="1199" t="s">
        <v>5344</v>
      </c>
      <c r="N348" s="3" t="s">
        <v>2580</v>
      </c>
      <c r="O348" s="939" t="s">
        <v>268</v>
      </c>
      <c r="P348" s="937">
        <v>44526</v>
      </c>
      <c r="Q348" s="937">
        <v>44526</v>
      </c>
      <c r="R348" s="1034" t="s">
        <v>4223</v>
      </c>
      <c r="S348" s="943"/>
      <c r="T348" s="1564"/>
      <c r="U348" s="936"/>
    </row>
    <row r="349" spans="1:21" ht="40.5" customHeight="1">
      <c r="A349" s="936" t="s">
        <v>2479</v>
      </c>
      <c r="B349" s="937">
        <v>44526</v>
      </c>
      <c r="C349" s="936">
        <f t="shared" si="26"/>
        <v>1</v>
      </c>
      <c r="D349" s="936">
        <f t="shared" si="27"/>
        <v>6</v>
      </c>
      <c r="E349" s="936"/>
      <c r="F349" s="936">
        <f t="shared" si="25"/>
        <v>57</v>
      </c>
      <c r="G349" s="1035" t="s">
        <v>5275</v>
      </c>
      <c r="H349" s="939"/>
      <c r="I349" s="939" t="s">
        <v>2313</v>
      </c>
      <c r="J349" s="1752"/>
      <c r="K349" s="176"/>
      <c r="L349" s="5"/>
      <c r="M349" s="1199" t="s">
        <v>5317</v>
      </c>
      <c r="N349" s="3" t="s">
        <v>2580</v>
      </c>
      <c r="O349" s="939" t="s">
        <v>268</v>
      </c>
      <c r="P349" s="937">
        <v>44526</v>
      </c>
      <c r="Q349" s="937">
        <v>44526</v>
      </c>
      <c r="R349" s="1034" t="s">
        <v>4223</v>
      </c>
      <c r="S349" s="943"/>
      <c r="T349" s="1564"/>
      <c r="U349" s="936"/>
    </row>
    <row r="350" spans="1:21" ht="40.5" customHeight="1">
      <c r="A350" s="936" t="s">
        <v>2479</v>
      </c>
      <c r="B350" s="937">
        <v>44526</v>
      </c>
      <c r="C350" s="936">
        <f t="shared" si="26"/>
        <v>1</v>
      </c>
      <c r="D350" s="936">
        <f t="shared" si="27"/>
        <v>6</v>
      </c>
      <c r="E350" s="945" t="s">
        <v>4054</v>
      </c>
      <c r="F350" s="936">
        <f t="shared" si="25"/>
        <v>58</v>
      </c>
      <c r="G350" s="1035" t="s">
        <v>5276</v>
      </c>
      <c r="H350" s="939"/>
      <c r="I350" s="939" t="s">
        <v>550</v>
      </c>
      <c r="J350" s="1752" t="s">
        <v>5792</v>
      </c>
      <c r="K350" s="176">
        <v>44438</v>
      </c>
      <c r="L350" s="5">
        <v>44492</v>
      </c>
      <c r="M350" s="1199" t="s">
        <v>4713</v>
      </c>
      <c r="N350" s="3" t="s">
        <v>2580</v>
      </c>
      <c r="O350" s="939" t="s">
        <v>268</v>
      </c>
      <c r="P350" s="937">
        <v>44526</v>
      </c>
      <c r="Q350" s="937">
        <v>44526</v>
      </c>
      <c r="R350" s="1034" t="s">
        <v>4223</v>
      </c>
      <c r="S350" s="943"/>
      <c r="T350" s="1747"/>
      <c r="U350" s="936"/>
    </row>
    <row r="351" spans="1:21" ht="40.5" customHeight="1">
      <c r="A351" s="936" t="s">
        <v>2479</v>
      </c>
      <c r="B351" s="937">
        <v>44526</v>
      </c>
      <c r="C351" s="936">
        <f t="shared" si="26"/>
        <v>1</v>
      </c>
      <c r="D351" s="936">
        <f t="shared" si="27"/>
        <v>6</v>
      </c>
      <c r="E351" s="936"/>
      <c r="F351" s="936">
        <f t="shared" si="25"/>
        <v>59</v>
      </c>
      <c r="G351" s="1035" t="s">
        <v>5277</v>
      </c>
      <c r="H351" s="939"/>
      <c r="I351" s="939" t="s">
        <v>2313</v>
      </c>
      <c r="J351" s="1752"/>
      <c r="K351" s="176"/>
      <c r="L351" s="5"/>
      <c r="M351" s="1199" t="s">
        <v>67</v>
      </c>
      <c r="N351" s="3" t="s">
        <v>2518</v>
      </c>
      <c r="O351" s="939" t="s">
        <v>268</v>
      </c>
      <c r="P351" s="937">
        <v>44526</v>
      </c>
      <c r="Q351" s="937">
        <v>44526</v>
      </c>
      <c r="R351" s="1034" t="s">
        <v>4223</v>
      </c>
      <c r="S351" s="943"/>
      <c r="T351" s="1564"/>
      <c r="U351" s="936"/>
    </row>
    <row r="352" spans="1:21" ht="40.5" customHeight="1">
      <c r="A352" s="936" t="s">
        <v>2479</v>
      </c>
      <c r="B352" s="937">
        <v>44526</v>
      </c>
      <c r="C352" s="936">
        <f t="shared" si="26"/>
        <v>1</v>
      </c>
      <c r="D352" s="936">
        <f t="shared" si="27"/>
        <v>6</v>
      </c>
      <c r="E352" s="936"/>
      <c r="F352" s="936">
        <f t="shared" si="25"/>
        <v>60</v>
      </c>
      <c r="G352" s="1035" t="s">
        <v>5278</v>
      </c>
      <c r="H352" s="939"/>
      <c r="I352" s="939" t="s">
        <v>2313</v>
      </c>
      <c r="J352" s="1752"/>
      <c r="K352" s="176"/>
      <c r="L352" s="5"/>
      <c r="M352" s="1199" t="s">
        <v>4716</v>
      </c>
      <c r="N352" s="3" t="s">
        <v>2518</v>
      </c>
      <c r="O352" s="939" t="s">
        <v>268</v>
      </c>
      <c r="P352" s="937">
        <v>44526</v>
      </c>
      <c r="Q352" s="937">
        <v>44526</v>
      </c>
      <c r="R352" s="1034" t="s">
        <v>4223</v>
      </c>
      <c r="S352" s="943"/>
      <c r="T352" s="1564"/>
      <c r="U352" s="936"/>
    </row>
    <row r="353" spans="1:21" ht="40.5" customHeight="1">
      <c r="A353" s="936" t="s">
        <v>2479</v>
      </c>
      <c r="B353" s="937">
        <v>44526</v>
      </c>
      <c r="C353" s="936">
        <f t="shared" si="26"/>
        <v>1</v>
      </c>
      <c r="D353" s="936">
        <f t="shared" si="27"/>
        <v>6</v>
      </c>
      <c r="E353" s="936"/>
      <c r="F353" s="936">
        <f t="shared" si="25"/>
        <v>61</v>
      </c>
      <c r="G353" s="1035" t="s">
        <v>5279</v>
      </c>
      <c r="H353" s="939"/>
      <c r="I353" s="939" t="s">
        <v>2313</v>
      </c>
      <c r="J353" s="1752"/>
      <c r="K353" s="176"/>
      <c r="L353" s="5"/>
      <c r="M353" s="1199" t="s">
        <v>2685</v>
      </c>
      <c r="N353" s="3" t="s">
        <v>2518</v>
      </c>
      <c r="O353" s="939" t="s">
        <v>268</v>
      </c>
      <c r="P353" s="937">
        <v>44526</v>
      </c>
      <c r="Q353" s="937">
        <v>44526</v>
      </c>
      <c r="R353" s="1034" t="s">
        <v>4223</v>
      </c>
      <c r="S353" s="943"/>
      <c r="T353" s="1564"/>
      <c r="U353" s="936"/>
    </row>
    <row r="354" spans="1:21" ht="40.5" customHeight="1">
      <c r="A354" s="936" t="s">
        <v>2479</v>
      </c>
      <c r="B354" s="937">
        <v>44526</v>
      </c>
      <c r="C354" s="936">
        <f t="shared" si="26"/>
        <v>1</v>
      </c>
      <c r="D354" s="936">
        <f t="shared" si="27"/>
        <v>6</v>
      </c>
      <c r="E354" s="936"/>
      <c r="F354" s="936">
        <f t="shared" si="25"/>
        <v>62</v>
      </c>
      <c r="G354" s="1035" t="s">
        <v>5280</v>
      </c>
      <c r="H354" s="939"/>
      <c r="I354" s="939" t="s">
        <v>2313</v>
      </c>
      <c r="J354" s="1752"/>
      <c r="K354" s="176"/>
      <c r="L354" s="5"/>
      <c r="M354" s="1199" t="s">
        <v>4654</v>
      </c>
      <c r="N354" s="3" t="s">
        <v>1976</v>
      </c>
      <c r="O354" s="939" t="s">
        <v>268</v>
      </c>
      <c r="P354" s="937">
        <v>44526</v>
      </c>
      <c r="Q354" s="937">
        <v>44526</v>
      </c>
      <c r="R354" s="1034" t="s">
        <v>4223</v>
      </c>
      <c r="S354" s="943"/>
      <c r="T354" s="1564"/>
      <c r="U354" s="936"/>
    </row>
    <row r="355" spans="1:21" ht="40.5" customHeight="1">
      <c r="A355" s="936" t="s">
        <v>2479</v>
      </c>
      <c r="B355" s="937">
        <v>44526</v>
      </c>
      <c r="C355" s="936">
        <f t="shared" si="26"/>
        <v>1</v>
      </c>
      <c r="D355" s="936">
        <f t="shared" si="27"/>
        <v>6</v>
      </c>
      <c r="E355" s="936"/>
      <c r="F355" s="936">
        <f t="shared" si="25"/>
        <v>63</v>
      </c>
      <c r="G355" s="1035" t="s">
        <v>5281</v>
      </c>
      <c r="H355" s="939"/>
      <c r="I355" s="939" t="s">
        <v>2313</v>
      </c>
      <c r="J355" s="1752"/>
      <c r="K355" s="176"/>
      <c r="L355" s="5"/>
      <c r="M355" s="1199" t="s">
        <v>5345</v>
      </c>
      <c r="N355" s="3" t="s">
        <v>1976</v>
      </c>
      <c r="O355" s="939" t="s">
        <v>268</v>
      </c>
      <c r="P355" s="937">
        <v>44526</v>
      </c>
      <c r="Q355" s="937">
        <v>44526</v>
      </c>
      <c r="R355" s="1034" t="s">
        <v>4223</v>
      </c>
      <c r="S355" s="943"/>
      <c r="T355" s="1564"/>
      <c r="U355" s="936"/>
    </row>
    <row r="356" spans="1:21" ht="73.5" customHeight="1">
      <c r="A356" s="936" t="s">
        <v>2479</v>
      </c>
      <c r="B356" s="937">
        <v>44526</v>
      </c>
      <c r="C356" s="936">
        <f t="shared" si="26"/>
        <v>1</v>
      </c>
      <c r="D356" s="936">
        <f t="shared" si="27"/>
        <v>6</v>
      </c>
      <c r="E356" s="936"/>
      <c r="F356" s="936">
        <f t="shared" si="25"/>
        <v>64</v>
      </c>
      <c r="G356" s="1035" t="s">
        <v>5282</v>
      </c>
      <c r="H356" s="939"/>
      <c r="I356" s="939" t="s">
        <v>2313</v>
      </c>
      <c r="J356" s="1752"/>
      <c r="K356" s="176"/>
      <c r="L356" s="5"/>
      <c r="M356" s="1199" t="s">
        <v>2592</v>
      </c>
      <c r="N356" s="3" t="s">
        <v>2527</v>
      </c>
      <c r="O356" s="939" t="s">
        <v>76</v>
      </c>
      <c r="P356" s="937">
        <v>44526</v>
      </c>
      <c r="Q356" s="937">
        <v>44526</v>
      </c>
      <c r="R356" s="1034" t="s">
        <v>4223</v>
      </c>
      <c r="S356" s="943"/>
      <c r="T356" s="1564"/>
      <c r="U356" s="936"/>
    </row>
    <row r="357" spans="1:21" ht="57.75" customHeight="1">
      <c r="A357" s="936" t="s">
        <v>2479</v>
      </c>
      <c r="B357" s="937">
        <v>44526</v>
      </c>
      <c r="C357" s="936">
        <f t="shared" si="26"/>
        <v>1</v>
      </c>
      <c r="D357" s="936">
        <f t="shared" si="27"/>
        <v>6</v>
      </c>
      <c r="E357" s="936"/>
      <c r="F357" s="936">
        <f t="shared" si="25"/>
        <v>65</v>
      </c>
      <c r="G357" s="1035" t="s">
        <v>5283</v>
      </c>
      <c r="H357" s="939"/>
      <c r="I357" s="939" t="s">
        <v>2313</v>
      </c>
      <c r="J357" s="1752"/>
      <c r="K357" s="176"/>
      <c r="L357" s="5"/>
      <c r="M357" s="1199" t="s">
        <v>4773</v>
      </c>
      <c r="N357" s="3" t="s">
        <v>2527</v>
      </c>
      <c r="O357" s="939" t="s">
        <v>76</v>
      </c>
      <c r="P357" s="937">
        <v>44526</v>
      </c>
      <c r="Q357" s="937">
        <v>44526</v>
      </c>
      <c r="R357" s="1034" t="s">
        <v>4223</v>
      </c>
      <c r="S357" s="943"/>
      <c r="T357" s="1564"/>
      <c r="U357" s="936"/>
    </row>
    <row r="358" spans="1:21" ht="40.5" customHeight="1">
      <c r="A358" s="936" t="s">
        <v>2479</v>
      </c>
      <c r="B358" s="937">
        <v>44526</v>
      </c>
      <c r="C358" s="936">
        <f t="shared" si="26"/>
        <v>1</v>
      </c>
      <c r="D358" s="936">
        <f t="shared" si="27"/>
        <v>6</v>
      </c>
      <c r="E358" s="936"/>
      <c r="F358" s="936">
        <f t="shared" ref="F358:F369" si="28">F357+1</f>
        <v>66</v>
      </c>
      <c r="G358" s="1035" t="s">
        <v>5286</v>
      </c>
      <c r="H358" s="939"/>
      <c r="I358" s="939" t="s">
        <v>2313</v>
      </c>
      <c r="J358" s="1752"/>
      <c r="K358" s="176"/>
      <c r="L358" s="5"/>
      <c r="M358" s="1199" t="s">
        <v>2538</v>
      </c>
      <c r="N358" s="3" t="s">
        <v>2527</v>
      </c>
      <c r="O358" s="939" t="s">
        <v>76</v>
      </c>
      <c r="P358" s="937">
        <v>44526</v>
      </c>
      <c r="Q358" s="937">
        <v>44526</v>
      </c>
      <c r="R358" s="1034" t="s">
        <v>4223</v>
      </c>
      <c r="S358" s="943"/>
      <c r="T358" s="1564"/>
      <c r="U358" s="936"/>
    </row>
    <row r="359" spans="1:21" ht="40.5" customHeight="1">
      <c r="A359" s="936" t="s">
        <v>2479</v>
      </c>
      <c r="B359" s="937">
        <v>44526</v>
      </c>
      <c r="C359" s="936">
        <f t="shared" si="26"/>
        <v>1</v>
      </c>
      <c r="D359" s="936">
        <f t="shared" si="27"/>
        <v>6</v>
      </c>
      <c r="E359" s="936"/>
      <c r="F359" s="936">
        <f t="shared" si="28"/>
        <v>67</v>
      </c>
      <c r="G359" s="1035" t="s">
        <v>5287</v>
      </c>
      <c r="H359" s="939"/>
      <c r="I359" s="939" t="s">
        <v>2313</v>
      </c>
      <c r="J359" s="1752"/>
      <c r="K359" s="176"/>
      <c r="L359" s="5"/>
      <c r="M359" s="1199" t="s">
        <v>67</v>
      </c>
      <c r="N359" s="3" t="s">
        <v>2616</v>
      </c>
      <c r="O359" s="939" t="s">
        <v>268</v>
      </c>
      <c r="P359" s="937">
        <v>44526</v>
      </c>
      <c r="Q359" s="937">
        <v>44526</v>
      </c>
      <c r="R359" s="1034" t="s">
        <v>4223</v>
      </c>
      <c r="S359" s="943"/>
      <c r="T359" s="1564"/>
      <c r="U359" s="936"/>
    </row>
    <row r="360" spans="1:21" ht="62.25" customHeight="1">
      <c r="A360" s="936" t="s">
        <v>2479</v>
      </c>
      <c r="B360" s="937">
        <v>44526</v>
      </c>
      <c r="C360" s="936">
        <f t="shared" ref="C360:C368" si="29">C359</f>
        <v>1</v>
      </c>
      <c r="D360" s="936">
        <f t="shared" si="27"/>
        <v>6</v>
      </c>
      <c r="E360" s="936"/>
      <c r="F360" s="936">
        <f t="shared" si="28"/>
        <v>68</v>
      </c>
      <c r="G360" s="1035" t="s">
        <v>5288</v>
      </c>
      <c r="H360" s="939"/>
      <c r="I360" s="939" t="s">
        <v>2313</v>
      </c>
      <c r="J360" s="1752"/>
      <c r="K360" s="176"/>
      <c r="L360" s="5"/>
      <c r="M360" s="1199" t="s">
        <v>3428</v>
      </c>
      <c r="N360" s="3" t="s">
        <v>2535</v>
      </c>
      <c r="O360" s="939" t="s">
        <v>268</v>
      </c>
      <c r="P360" s="937">
        <v>44526</v>
      </c>
      <c r="Q360" s="937">
        <v>44526</v>
      </c>
      <c r="R360" s="1034" t="s">
        <v>4223</v>
      </c>
      <c r="S360" s="943"/>
      <c r="T360" s="1564"/>
      <c r="U360" s="936"/>
    </row>
    <row r="361" spans="1:21" ht="65.25" customHeight="1">
      <c r="A361" s="936" t="s">
        <v>2479</v>
      </c>
      <c r="B361" s="937">
        <v>44526</v>
      </c>
      <c r="C361" s="936">
        <f t="shared" si="29"/>
        <v>1</v>
      </c>
      <c r="D361" s="936">
        <f t="shared" ref="D361:D371" si="30">D360</f>
        <v>6</v>
      </c>
      <c r="E361" s="936"/>
      <c r="F361" s="936">
        <f t="shared" si="28"/>
        <v>69</v>
      </c>
      <c r="G361" s="1035" t="s">
        <v>5289</v>
      </c>
      <c r="H361" s="939"/>
      <c r="I361" s="939" t="s">
        <v>2313</v>
      </c>
      <c r="J361" s="1752"/>
      <c r="K361" s="176"/>
      <c r="L361" s="5"/>
      <c r="M361" s="1199" t="s">
        <v>3428</v>
      </c>
      <c r="N361" s="3" t="s">
        <v>2535</v>
      </c>
      <c r="O361" s="939" t="s">
        <v>268</v>
      </c>
      <c r="P361" s="937">
        <v>44526</v>
      </c>
      <c r="Q361" s="937">
        <v>44526</v>
      </c>
      <c r="R361" s="1034" t="s">
        <v>4223</v>
      </c>
      <c r="S361" s="943"/>
      <c r="T361" s="1564"/>
      <c r="U361" s="936"/>
    </row>
    <row r="362" spans="1:21" ht="58.5" customHeight="1">
      <c r="A362" s="936" t="s">
        <v>2479</v>
      </c>
      <c r="B362" s="937">
        <v>44526</v>
      </c>
      <c r="C362" s="936">
        <f t="shared" si="29"/>
        <v>1</v>
      </c>
      <c r="D362" s="936">
        <f t="shared" si="30"/>
        <v>6</v>
      </c>
      <c r="E362" s="936"/>
      <c r="F362" s="936">
        <f t="shared" si="28"/>
        <v>70</v>
      </c>
      <c r="G362" s="1035" t="s">
        <v>5290</v>
      </c>
      <c r="H362" s="939"/>
      <c r="I362" s="939" t="s">
        <v>2313</v>
      </c>
      <c r="J362" s="1752"/>
      <c r="K362" s="176"/>
      <c r="L362" s="5"/>
      <c r="M362" s="1199" t="s">
        <v>2612</v>
      </c>
      <c r="N362" s="3" t="s">
        <v>5248</v>
      </c>
      <c r="O362" s="939" t="s">
        <v>76</v>
      </c>
      <c r="P362" s="937">
        <v>44526</v>
      </c>
      <c r="Q362" s="937">
        <v>44526</v>
      </c>
      <c r="R362" s="1034" t="s">
        <v>4223</v>
      </c>
      <c r="S362" s="943"/>
      <c r="T362" s="1564"/>
      <c r="U362" s="936"/>
    </row>
    <row r="363" spans="1:21" ht="40.5" customHeight="1">
      <c r="A363" s="936" t="s">
        <v>2479</v>
      </c>
      <c r="B363" s="937">
        <v>44526</v>
      </c>
      <c r="C363" s="936">
        <f t="shared" si="29"/>
        <v>1</v>
      </c>
      <c r="D363" s="936">
        <f t="shared" si="30"/>
        <v>6</v>
      </c>
      <c r="E363" s="936"/>
      <c r="F363" s="936">
        <f t="shared" si="28"/>
        <v>71</v>
      </c>
      <c r="G363" s="1035" t="s">
        <v>5291</v>
      </c>
      <c r="H363" s="939"/>
      <c r="I363" s="939" t="s">
        <v>2313</v>
      </c>
      <c r="J363" s="1752"/>
      <c r="K363" s="176"/>
      <c r="L363" s="5"/>
      <c r="M363" s="1199" t="s">
        <v>5346</v>
      </c>
      <c r="N363" s="3" t="s">
        <v>5248</v>
      </c>
      <c r="O363" s="939" t="s">
        <v>76</v>
      </c>
      <c r="P363" s="937">
        <v>44526</v>
      </c>
      <c r="Q363" s="937">
        <v>44526</v>
      </c>
      <c r="R363" s="1034" t="s">
        <v>4223</v>
      </c>
      <c r="S363" s="943"/>
      <c r="T363" s="1564"/>
      <c r="U363" s="936"/>
    </row>
    <row r="364" spans="1:21" ht="40.5" customHeight="1">
      <c r="A364" s="936" t="s">
        <v>2479</v>
      </c>
      <c r="B364" s="937">
        <v>44526</v>
      </c>
      <c r="C364" s="936">
        <f t="shared" si="29"/>
        <v>1</v>
      </c>
      <c r="D364" s="936">
        <f t="shared" si="30"/>
        <v>6</v>
      </c>
      <c r="E364" s="936"/>
      <c r="F364" s="936">
        <f t="shared" si="28"/>
        <v>72</v>
      </c>
      <c r="G364" s="1035" t="s">
        <v>5292</v>
      </c>
      <c r="H364" s="939"/>
      <c r="I364" s="939" t="s">
        <v>2313</v>
      </c>
      <c r="J364" s="1752"/>
      <c r="K364" s="176"/>
      <c r="L364" s="5"/>
      <c r="M364" s="1199" t="s">
        <v>2690</v>
      </c>
      <c r="N364" s="3" t="s">
        <v>5248</v>
      </c>
      <c r="O364" s="939" t="s">
        <v>268</v>
      </c>
      <c r="P364" s="937">
        <v>44526</v>
      </c>
      <c r="Q364" s="937">
        <v>44526</v>
      </c>
      <c r="R364" s="1034" t="s">
        <v>4223</v>
      </c>
      <c r="S364" s="943"/>
      <c r="T364" s="1564"/>
      <c r="U364" s="936"/>
    </row>
    <row r="365" spans="1:21" ht="40.5" customHeight="1">
      <c r="A365" s="936" t="s">
        <v>2479</v>
      </c>
      <c r="B365" s="937">
        <v>44526</v>
      </c>
      <c r="C365" s="936">
        <f t="shared" si="29"/>
        <v>1</v>
      </c>
      <c r="D365" s="936">
        <f t="shared" si="30"/>
        <v>6</v>
      </c>
      <c r="E365" s="936"/>
      <c r="F365" s="936">
        <f t="shared" si="28"/>
        <v>73</v>
      </c>
      <c r="G365" s="1035" t="s">
        <v>5293</v>
      </c>
      <c r="H365" s="939"/>
      <c r="I365" s="939" t="s">
        <v>2313</v>
      </c>
      <c r="J365" s="1752"/>
      <c r="K365" s="176"/>
      <c r="L365" s="5"/>
      <c r="M365" s="1199" t="s">
        <v>2609</v>
      </c>
      <c r="N365" s="3" t="s">
        <v>5248</v>
      </c>
      <c r="O365" s="939" t="s">
        <v>76</v>
      </c>
      <c r="P365" s="937">
        <v>44526</v>
      </c>
      <c r="Q365" s="937">
        <v>44526</v>
      </c>
      <c r="R365" s="1034" t="s">
        <v>4223</v>
      </c>
      <c r="S365" s="943"/>
      <c r="T365" s="1564"/>
      <c r="U365" s="936"/>
    </row>
    <row r="366" spans="1:21" ht="40.5" customHeight="1">
      <c r="A366" s="936" t="s">
        <v>2479</v>
      </c>
      <c r="B366" s="937">
        <v>44526</v>
      </c>
      <c r="C366" s="936">
        <f t="shared" si="29"/>
        <v>1</v>
      </c>
      <c r="D366" s="936">
        <f t="shared" si="30"/>
        <v>6</v>
      </c>
      <c r="E366" s="936"/>
      <c r="F366" s="936">
        <f t="shared" si="28"/>
        <v>74</v>
      </c>
      <c r="G366" s="1035" t="s">
        <v>5294</v>
      </c>
      <c r="H366" s="939"/>
      <c r="I366" s="939" t="s">
        <v>2313</v>
      </c>
      <c r="J366" s="1752"/>
      <c r="K366" s="176"/>
      <c r="L366" s="5"/>
      <c r="M366" s="1199" t="s">
        <v>2531</v>
      </c>
      <c r="N366" s="3" t="s">
        <v>5248</v>
      </c>
      <c r="O366" s="939" t="s">
        <v>268</v>
      </c>
      <c r="P366" s="937">
        <v>44526</v>
      </c>
      <c r="Q366" s="937">
        <v>44526</v>
      </c>
      <c r="R366" s="1034" t="s">
        <v>4223</v>
      </c>
      <c r="S366" s="943"/>
      <c r="T366" s="1564"/>
      <c r="U366" s="936"/>
    </row>
    <row r="367" spans="1:21" ht="40.5" customHeight="1">
      <c r="A367" s="936" t="s">
        <v>2479</v>
      </c>
      <c r="B367" s="937">
        <v>44526</v>
      </c>
      <c r="C367" s="936">
        <f t="shared" si="29"/>
        <v>1</v>
      </c>
      <c r="D367" s="936">
        <f t="shared" si="30"/>
        <v>6</v>
      </c>
      <c r="E367" s="936"/>
      <c r="F367" s="936">
        <f t="shared" si="28"/>
        <v>75</v>
      </c>
      <c r="G367" s="1035" t="s">
        <v>5295</v>
      </c>
      <c r="H367" s="939"/>
      <c r="I367" s="939" t="s">
        <v>2313</v>
      </c>
      <c r="J367" s="1752"/>
      <c r="K367" s="176"/>
      <c r="L367" s="5"/>
      <c r="M367" s="1199" t="s">
        <v>3422</v>
      </c>
      <c r="N367" s="3" t="s">
        <v>5248</v>
      </c>
      <c r="O367" s="939" t="s">
        <v>5223</v>
      </c>
      <c r="P367" s="937">
        <v>44526</v>
      </c>
      <c r="Q367" s="937">
        <v>44526</v>
      </c>
      <c r="R367" s="1034" t="s">
        <v>4223</v>
      </c>
      <c r="S367" s="943"/>
      <c r="T367" s="1564"/>
      <c r="U367" s="936"/>
    </row>
    <row r="368" spans="1:21" ht="40.5" customHeight="1">
      <c r="A368" s="936" t="s">
        <v>2479</v>
      </c>
      <c r="B368" s="937">
        <v>44526</v>
      </c>
      <c r="C368" s="936">
        <f t="shared" si="29"/>
        <v>1</v>
      </c>
      <c r="D368" s="936">
        <f t="shared" si="30"/>
        <v>6</v>
      </c>
      <c r="E368" s="936"/>
      <c r="F368" s="936">
        <f t="shared" si="28"/>
        <v>76</v>
      </c>
      <c r="G368" s="1035" t="s">
        <v>5296</v>
      </c>
      <c r="H368" s="939"/>
      <c r="I368" s="939" t="s">
        <v>2313</v>
      </c>
      <c r="J368" s="1752"/>
      <c r="K368" s="176"/>
      <c r="L368" s="5"/>
      <c r="M368" s="1199" t="s">
        <v>4686</v>
      </c>
      <c r="N368" s="3" t="s">
        <v>1975</v>
      </c>
      <c r="O368" s="939" t="s">
        <v>76</v>
      </c>
      <c r="P368" s="937">
        <v>44526</v>
      </c>
      <c r="Q368" s="937">
        <v>44526</v>
      </c>
      <c r="R368" s="1034" t="s">
        <v>4223</v>
      </c>
      <c r="S368" s="943"/>
      <c r="T368" s="1564"/>
      <c r="U368" s="936"/>
    </row>
    <row r="369" spans="1:21" ht="40.5" customHeight="1">
      <c r="A369" s="936" t="s">
        <v>2479</v>
      </c>
      <c r="B369" s="937">
        <v>44694</v>
      </c>
      <c r="C369" s="936">
        <v>2</v>
      </c>
      <c r="D369" s="936">
        <f t="shared" si="30"/>
        <v>6</v>
      </c>
      <c r="E369" s="511"/>
      <c r="F369" s="936">
        <f t="shared" si="28"/>
        <v>77</v>
      </c>
      <c r="G369" s="1035" t="s">
        <v>5108</v>
      </c>
      <c r="H369" s="939"/>
      <c r="I369" s="939"/>
      <c r="J369" s="1752"/>
      <c r="K369" s="176"/>
      <c r="L369" s="5"/>
      <c r="M369" s="1199" t="s">
        <v>5326</v>
      </c>
      <c r="N369" s="3" t="s">
        <v>5109</v>
      </c>
      <c r="O369" s="939" t="s">
        <v>5102</v>
      </c>
      <c r="P369" s="937">
        <v>44694</v>
      </c>
      <c r="Q369" s="937">
        <v>44694</v>
      </c>
      <c r="R369" s="1034" t="s">
        <v>4223</v>
      </c>
      <c r="S369" s="943"/>
      <c r="T369" s="1747"/>
      <c r="U369" s="936"/>
    </row>
    <row r="370" spans="1:21" ht="67.5" customHeight="1">
      <c r="A370" s="936" t="s">
        <v>2479</v>
      </c>
      <c r="B370" s="937">
        <v>44694</v>
      </c>
      <c r="C370" s="936">
        <v>2</v>
      </c>
      <c r="D370" s="936">
        <f t="shared" si="30"/>
        <v>6</v>
      </c>
      <c r="E370" s="511" t="s">
        <v>5050</v>
      </c>
      <c r="F370" s="936">
        <v>1</v>
      </c>
      <c r="G370" s="1035" t="s">
        <v>5128</v>
      </c>
      <c r="H370" s="939"/>
      <c r="I370" s="939" t="s">
        <v>550</v>
      </c>
      <c r="J370" s="1752"/>
      <c r="K370" s="176"/>
      <c r="L370" s="5"/>
      <c r="M370" s="1199" t="s">
        <v>5326</v>
      </c>
      <c r="N370" s="3" t="s">
        <v>1975</v>
      </c>
      <c r="O370" s="939" t="s">
        <v>5050</v>
      </c>
      <c r="P370" s="937">
        <v>44694</v>
      </c>
      <c r="Q370" s="937">
        <v>44694</v>
      </c>
      <c r="R370" s="1034" t="s">
        <v>4223</v>
      </c>
      <c r="S370" s="943"/>
      <c r="T370" s="1747"/>
      <c r="U370" s="936"/>
    </row>
    <row r="371" spans="1:21" ht="75" customHeight="1">
      <c r="A371" s="936" t="s">
        <v>2479</v>
      </c>
      <c r="B371" s="937">
        <v>44694</v>
      </c>
      <c r="C371" s="936">
        <v>2</v>
      </c>
      <c r="D371" s="936">
        <f t="shared" si="30"/>
        <v>6</v>
      </c>
      <c r="E371" s="511" t="s">
        <v>3442</v>
      </c>
      <c r="F371" s="936">
        <f t="shared" ref="F371:F376" si="31">F370+1</f>
        <v>2</v>
      </c>
      <c r="G371" s="1035" t="s">
        <v>5073</v>
      </c>
      <c r="H371" s="939"/>
      <c r="I371" s="939" t="s">
        <v>550</v>
      </c>
      <c r="J371" s="1752" t="s">
        <v>5792</v>
      </c>
      <c r="K371" s="176">
        <v>44222</v>
      </c>
      <c r="L371" s="5">
        <v>44377</v>
      </c>
      <c r="M371" s="1199" t="s">
        <v>5781</v>
      </c>
      <c r="N371" s="3" t="s">
        <v>2607</v>
      </c>
      <c r="O371" s="939" t="s">
        <v>165</v>
      </c>
      <c r="P371" s="937">
        <v>44694</v>
      </c>
      <c r="Q371" s="937">
        <v>44694</v>
      </c>
      <c r="R371" s="1034" t="s">
        <v>4223</v>
      </c>
      <c r="S371" s="943"/>
      <c r="T371" s="1747" t="s">
        <v>5782</v>
      </c>
      <c r="U371" s="936"/>
    </row>
    <row r="372" spans="1:21" ht="40.5" customHeight="1">
      <c r="A372" s="936" t="s">
        <v>2479</v>
      </c>
      <c r="B372" s="937">
        <v>44526</v>
      </c>
      <c r="C372" s="936">
        <f t="shared" ref="C372:C389" si="32">C371</f>
        <v>2</v>
      </c>
      <c r="D372" s="936">
        <f t="shared" ref="D372:D389" si="33">D371</f>
        <v>6</v>
      </c>
      <c r="E372" s="936"/>
      <c r="F372" s="936">
        <f t="shared" si="31"/>
        <v>3</v>
      </c>
      <c r="G372" s="1035" t="s">
        <v>5299</v>
      </c>
      <c r="H372" s="939"/>
      <c r="I372" s="939" t="s">
        <v>2313</v>
      </c>
      <c r="J372" s="1752"/>
      <c r="K372" s="176"/>
      <c r="L372" s="5"/>
      <c r="M372" s="1199" t="s">
        <v>5347</v>
      </c>
      <c r="N372" s="3" t="s">
        <v>1975</v>
      </c>
      <c r="O372" s="939" t="s">
        <v>165</v>
      </c>
      <c r="P372" s="937">
        <v>44526</v>
      </c>
      <c r="Q372" s="937">
        <v>44526</v>
      </c>
      <c r="R372" s="1034" t="s">
        <v>4223</v>
      </c>
      <c r="S372" s="943"/>
      <c r="T372" s="1564"/>
      <c r="U372" s="936"/>
    </row>
    <row r="373" spans="1:21" ht="40.5" customHeight="1">
      <c r="A373" s="936" t="s">
        <v>2479</v>
      </c>
      <c r="B373" s="937">
        <v>44526</v>
      </c>
      <c r="C373" s="936">
        <f t="shared" si="32"/>
        <v>2</v>
      </c>
      <c r="D373" s="936">
        <f t="shared" si="33"/>
        <v>6</v>
      </c>
      <c r="E373" s="945" t="s">
        <v>4739</v>
      </c>
      <c r="F373" s="936">
        <f t="shared" si="31"/>
        <v>4</v>
      </c>
      <c r="G373" s="1035" t="s">
        <v>5300</v>
      </c>
      <c r="H373" s="939"/>
      <c r="I373" s="939" t="s">
        <v>550</v>
      </c>
      <c r="J373" s="1752"/>
      <c r="K373" s="176"/>
      <c r="L373" s="5"/>
      <c r="M373" s="1199" t="s">
        <v>4101</v>
      </c>
      <c r="N373" s="3" t="s">
        <v>5285</v>
      </c>
      <c r="O373" s="939" t="s">
        <v>165</v>
      </c>
      <c r="P373" s="937">
        <v>44526</v>
      </c>
      <c r="Q373" s="937">
        <v>44526</v>
      </c>
      <c r="R373" s="1034" t="s">
        <v>4223</v>
      </c>
      <c r="S373" s="943"/>
      <c r="T373" s="1747"/>
      <c r="U373" s="936"/>
    </row>
    <row r="374" spans="1:21" ht="63.75" customHeight="1">
      <c r="A374" s="936" t="s">
        <v>2479</v>
      </c>
      <c r="B374" s="937">
        <v>44526</v>
      </c>
      <c r="C374" s="936">
        <f t="shared" si="32"/>
        <v>2</v>
      </c>
      <c r="D374" s="936">
        <f t="shared" si="33"/>
        <v>6</v>
      </c>
      <c r="E374" s="936"/>
      <c r="F374" s="936">
        <f t="shared" si="31"/>
        <v>5</v>
      </c>
      <c r="G374" s="1035" t="s">
        <v>5301</v>
      </c>
      <c r="H374" s="939"/>
      <c r="I374" s="939" t="s">
        <v>2313</v>
      </c>
      <c r="J374" s="1752"/>
      <c r="K374" s="176"/>
      <c r="L374" s="5"/>
      <c r="M374" s="1199" t="s">
        <v>4690</v>
      </c>
      <c r="N374" s="3" t="s">
        <v>1975</v>
      </c>
      <c r="O374" s="939" t="s">
        <v>4738</v>
      </c>
      <c r="P374" s="937">
        <v>44526</v>
      </c>
      <c r="Q374" s="937">
        <v>44526</v>
      </c>
      <c r="R374" s="1034" t="s">
        <v>4223</v>
      </c>
      <c r="S374" s="943"/>
      <c r="T374" s="1564"/>
      <c r="U374" s="936"/>
    </row>
    <row r="375" spans="1:21" ht="66" customHeight="1">
      <c r="A375" s="936" t="s">
        <v>2479</v>
      </c>
      <c r="B375" s="937">
        <v>44526</v>
      </c>
      <c r="C375" s="936">
        <f t="shared" si="32"/>
        <v>2</v>
      </c>
      <c r="D375" s="936">
        <f t="shared" si="33"/>
        <v>6</v>
      </c>
      <c r="E375" s="936"/>
      <c r="F375" s="936">
        <f t="shared" si="31"/>
        <v>6</v>
      </c>
      <c r="G375" s="1035" t="s">
        <v>5302</v>
      </c>
      <c r="H375" s="939"/>
      <c r="I375" s="939" t="s">
        <v>2313</v>
      </c>
      <c r="J375" s="1752"/>
      <c r="K375" s="176"/>
      <c r="L375" s="5"/>
      <c r="M375" s="1199" t="s">
        <v>5348</v>
      </c>
      <c r="N375" s="3" t="s">
        <v>1975</v>
      </c>
      <c r="O375" s="939" t="s">
        <v>4738</v>
      </c>
      <c r="P375" s="937">
        <v>44526</v>
      </c>
      <c r="Q375" s="937">
        <v>44526</v>
      </c>
      <c r="R375" s="1034" t="s">
        <v>4223</v>
      </c>
      <c r="S375" s="943"/>
      <c r="T375" s="1564"/>
      <c r="U375" s="936"/>
    </row>
    <row r="376" spans="1:21" ht="72.75" customHeight="1">
      <c r="A376" s="936" t="s">
        <v>2479</v>
      </c>
      <c r="B376" s="937">
        <v>44526</v>
      </c>
      <c r="C376" s="936">
        <f t="shared" si="32"/>
        <v>2</v>
      </c>
      <c r="D376" s="936">
        <f t="shared" si="33"/>
        <v>6</v>
      </c>
      <c r="E376" s="945" t="s">
        <v>4051</v>
      </c>
      <c r="F376" s="936">
        <f t="shared" si="31"/>
        <v>7</v>
      </c>
      <c r="G376" s="1035" t="s">
        <v>5303</v>
      </c>
      <c r="H376" s="939"/>
      <c r="I376" s="939" t="s">
        <v>550</v>
      </c>
      <c r="J376" s="1752" t="s">
        <v>5792</v>
      </c>
      <c r="K376" s="176">
        <v>44438</v>
      </c>
      <c r="L376" s="177">
        <v>44464</v>
      </c>
      <c r="M376" s="1199" t="s">
        <v>4076</v>
      </c>
      <c r="N376" s="3" t="s">
        <v>2541</v>
      </c>
      <c r="O376" s="939" t="s">
        <v>4738</v>
      </c>
      <c r="P376" s="937">
        <v>44526</v>
      </c>
      <c r="Q376" s="937">
        <v>44526</v>
      </c>
      <c r="R376" s="1034" t="s">
        <v>4223</v>
      </c>
      <c r="S376" s="943"/>
      <c r="T376" s="1747"/>
      <c r="U376" s="936"/>
    </row>
    <row r="377" spans="1:21" ht="60" customHeight="1">
      <c r="A377" s="936" t="s">
        <v>2479</v>
      </c>
      <c r="B377" s="937">
        <v>44526</v>
      </c>
      <c r="C377" s="936">
        <f t="shared" si="32"/>
        <v>2</v>
      </c>
      <c r="D377" s="936">
        <f t="shared" si="33"/>
        <v>6</v>
      </c>
      <c r="E377" s="936"/>
      <c r="F377" s="936">
        <f t="shared" ref="F377:F386" si="34">F376+1</f>
        <v>8</v>
      </c>
      <c r="G377" s="1035" t="s">
        <v>5304</v>
      </c>
      <c r="H377" s="939"/>
      <c r="I377" s="939" t="s">
        <v>2313</v>
      </c>
      <c r="J377" s="1752"/>
      <c r="K377" s="176"/>
      <c r="L377" s="5"/>
      <c r="M377" s="1199" t="s">
        <v>4700</v>
      </c>
      <c r="N377" s="3" t="s">
        <v>2541</v>
      </c>
      <c r="O377" s="939" t="s">
        <v>4738</v>
      </c>
      <c r="P377" s="937">
        <v>44526</v>
      </c>
      <c r="Q377" s="937">
        <v>44526</v>
      </c>
      <c r="R377" s="1034" t="s">
        <v>4223</v>
      </c>
      <c r="S377" s="943"/>
      <c r="T377" s="1564"/>
      <c r="U377" s="936"/>
    </row>
    <row r="378" spans="1:21" ht="63" customHeight="1">
      <c r="A378" s="936" t="s">
        <v>2479</v>
      </c>
      <c r="B378" s="937">
        <v>44526</v>
      </c>
      <c r="C378" s="936">
        <f t="shared" si="32"/>
        <v>2</v>
      </c>
      <c r="D378" s="936">
        <f t="shared" si="33"/>
        <v>6</v>
      </c>
      <c r="E378" s="945" t="s">
        <v>4052</v>
      </c>
      <c r="F378" s="936">
        <f t="shared" si="34"/>
        <v>9</v>
      </c>
      <c r="G378" s="1035" t="s">
        <v>5305</v>
      </c>
      <c r="H378" s="939"/>
      <c r="I378" s="939" t="s">
        <v>550</v>
      </c>
      <c r="J378" s="1752" t="s">
        <v>5792</v>
      </c>
      <c r="K378" s="176">
        <v>44438</v>
      </c>
      <c r="L378" s="5">
        <v>44452</v>
      </c>
      <c r="M378" s="1199" t="s">
        <v>4702</v>
      </c>
      <c r="N378" s="3" t="s">
        <v>2515</v>
      </c>
      <c r="O378" s="939" t="s">
        <v>4738</v>
      </c>
      <c r="P378" s="937">
        <v>44526</v>
      </c>
      <c r="Q378" s="937">
        <v>44526</v>
      </c>
      <c r="R378" s="1034" t="s">
        <v>4223</v>
      </c>
      <c r="S378" s="943"/>
      <c r="T378" s="1747"/>
      <c r="U378" s="936"/>
    </row>
    <row r="379" spans="1:21" ht="55.5" customHeight="1">
      <c r="A379" s="936" t="s">
        <v>2479</v>
      </c>
      <c r="B379" s="937">
        <v>44526</v>
      </c>
      <c r="C379" s="936">
        <f t="shared" si="32"/>
        <v>2</v>
      </c>
      <c r="D379" s="936">
        <f t="shared" si="33"/>
        <v>6</v>
      </c>
      <c r="E379" s="945" t="s">
        <v>4052</v>
      </c>
      <c r="F379" s="936">
        <f t="shared" si="34"/>
        <v>10</v>
      </c>
      <c r="G379" s="1035" t="s">
        <v>5306</v>
      </c>
      <c r="H379" s="939"/>
      <c r="I379" s="939" t="s">
        <v>550</v>
      </c>
      <c r="J379" s="1752" t="s">
        <v>5792</v>
      </c>
      <c r="K379" s="176">
        <v>44438</v>
      </c>
      <c r="L379" s="5">
        <v>44452</v>
      </c>
      <c r="M379" s="1199" t="s">
        <v>4078</v>
      </c>
      <c r="N379" s="3" t="s">
        <v>2515</v>
      </c>
      <c r="O379" s="939" t="s">
        <v>4738</v>
      </c>
      <c r="P379" s="937">
        <v>44526</v>
      </c>
      <c r="Q379" s="937">
        <v>44526</v>
      </c>
      <c r="R379" s="1034" t="s">
        <v>4223</v>
      </c>
      <c r="S379" s="943"/>
      <c r="T379" s="1747"/>
      <c r="U379" s="936"/>
    </row>
    <row r="380" spans="1:21" ht="58.5" customHeight="1">
      <c r="A380" s="936" t="s">
        <v>2479</v>
      </c>
      <c r="B380" s="937">
        <v>44526</v>
      </c>
      <c r="C380" s="936">
        <f t="shared" si="32"/>
        <v>2</v>
      </c>
      <c r="D380" s="936">
        <f t="shared" si="33"/>
        <v>6</v>
      </c>
      <c r="E380" s="945" t="s">
        <v>4052</v>
      </c>
      <c r="F380" s="936">
        <f t="shared" si="34"/>
        <v>11</v>
      </c>
      <c r="G380" s="1035" t="s">
        <v>4704</v>
      </c>
      <c r="H380" s="939"/>
      <c r="I380" s="939" t="s">
        <v>550</v>
      </c>
      <c r="J380" s="1752" t="s">
        <v>5792</v>
      </c>
      <c r="K380" s="176">
        <v>44438</v>
      </c>
      <c r="L380" s="5">
        <v>44452</v>
      </c>
      <c r="M380" s="1199" t="s">
        <v>3146</v>
      </c>
      <c r="N380" s="3" t="s">
        <v>2515</v>
      </c>
      <c r="O380" s="939" t="s">
        <v>4738</v>
      </c>
      <c r="P380" s="937">
        <v>44526</v>
      </c>
      <c r="Q380" s="937">
        <v>44526</v>
      </c>
      <c r="R380" s="1034" t="s">
        <v>4223</v>
      </c>
      <c r="S380" s="943"/>
      <c r="T380" s="1747"/>
      <c r="U380" s="936"/>
    </row>
    <row r="381" spans="1:21" ht="65.25" customHeight="1">
      <c r="A381" s="936" t="s">
        <v>2479</v>
      </c>
      <c r="B381" s="937">
        <v>44526</v>
      </c>
      <c r="C381" s="936">
        <f t="shared" si="32"/>
        <v>2</v>
      </c>
      <c r="D381" s="936">
        <f t="shared" si="33"/>
        <v>6</v>
      </c>
      <c r="E381" s="945" t="s">
        <v>4053</v>
      </c>
      <c r="F381" s="936">
        <f t="shared" si="34"/>
        <v>12</v>
      </c>
      <c r="G381" s="1035" t="s">
        <v>5307</v>
      </c>
      <c r="H381" s="939"/>
      <c r="I381" s="939" t="s">
        <v>550</v>
      </c>
      <c r="J381" s="1752" t="s">
        <v>5792</v>
      </c>
      <c r="K381" s="176">
        <v>44466</v>
      </c>
      <c r="L381" s="5">
        <v>44541</v>
      </c>
      <c r="M381" s="1199" t="s">
        <v>3428</v>
      </c>
      <c r="N381" s="3" t="s">
        <v>2527</v>
      </c>
      <c r="O381" s="939" t="s">
        <v>4738</v>
      </c>
      <c r="P381" s="937">
        <v>44526</v>
      </c>
      <c r="Q381" s="937">
        <v>44526</v>
      </c>
      <c r="R381" s="1034" t="s">
        <v>4223</v>
      </c>
      <c r="S381" s="943"/>
      <c r="T381" s="1747"/>
      <c r="U381" s="936"/>
    </row>
    <row r="382" spans="1:21" ht="65.25" customHeight="1">
      <c r="A382" s="936" t="s">
        <v>2479</v>
      </c>
      <c r="B382" s="937">
        <v>44526</v>
      </c>
      <c r="C382" s="936">
        <f t="shared" si="32"/>
        <v>2</v>
      </c>
      <c r="D382" s="936">
        <f t="shared" si="33"/>
        <v>6</v>
      </c>
      <c r="E382" s="945" t="s">
        <v>4053</v>
      </c>
      <c r="F382" s="936">
        <f t="shared" si="34"/>
        <v>13</v>
      </c>
      <c r="G382" s="1035" t="s">
        <v>5308</v>
      </c>
      <c r="H382" s="939"/>
      <c r="I382" s="939" t="s">
        <v>550</v>
      </c>
      <c r="J382" s="1752" t="s">
        <v>5792</v>
      </c>
      <c r="K382" s="176">
        <v>44466</v>
      </c>
      <c r="L382" s="5">
        <v>44541</v>
      </c>
      <c r="M382" s="1199" t="s">
        <v>2717</v>
      </c>
      <c r="N382" s="3" t="s">
        <v>2527</v>
      </c>
      <c r="O382" s="939" t="s">
        <v>4738</v>
      </c>
      <c r="P382" s="937">
        <v>44526</v>
      </c>
      <c r="Q382" s="937">
        <v>44526</v>
      </c>
      <c r="R382" s="1034" t="s">
        <v>4223</v>
      </c>
      <c r="S382" s="943"/>
      <c r="T382" s="1747"/>
      <c r="U382" s="936"/>
    </row>
    <row r="383" spans="1:21" ht="62.25" customHeight="1">
      <c r="A383" s="936" t="s">
        <v>2479</v>
      </c>
      <c r="B383" s="937">
        <v>44526</v>
      </c>
      <c r="C383" s="936">
        <f t="shared" si="32"/>
        <v>2</v>
      </c>
      <c r="D383" s="936">
        <f t="shared" si="33"/>
        <v>6</v>
      </c>
      <c r="E383" s="945" t="s">
        <v>4053</v>
      </c>
      <c r="F383" s="936">
        <f t="shared" si="34"/>
        <v>14</v>
      </c>
      <c r="G383" s="1035" t="s">
        <v>5309</v>
      </c>
      <c r="H383" s="939"/>
      <c r="I383" s="939" t="s">
        <v>550</v>
      </c>
      <c r="J383" s="1752" t="s">
        <v>5792</v>
      </c>
      <c r="K383" s="176">
        <v>44466</v>
      </c>
      <c r="L383" s="5">
        <v>44541</v>
      </c>
      <c r="M383" s="1199" t="s">
        <v>2706</v>
      </c>
      <c r="N383" s="3" t="s">
        <v>2527</v>
      </c>
      <c r="O383" s="939" t="s">
        <v>4738</v>
      </c>
      <c r="P383" s="937">
        <v>44526</v>
      </c>
      <c r="Q383" s="937">
        <v>44526</v>
      </c>
      <c r="R383" s="1034" t="s">
        <v>4223</v>
      </c>
      <c r="S383" s="943"/>
      <c r="T383" s="1747"/>
      <c r="U383" s="936"/>
    </row>
    <row r="384" spans="1:21" ht="55.5" customHeight="1">
      <c r="A384" s="936" t="s">
        <v>2479</v>
      </c>
      <c r="B384" s="937">
        <v>44526</v>
      </c>
      <c r="C384" s="936">
        <f t="shared" si="32"/>
        <v>2</v>
      </c>
      <c r="D384" s="936">
        <f t="shared" si="33"/>
        <v>6</v>
      </c>
      <c r="E384" s="945" t="s">
        <v>4053</v>
      </c>
      <c r="F384" s="936">
        <f t="shared" si="34"/>
        <v>15</v>
      </c>
      <c r="G384" s="1035" t="s">
        <v>5310</v>
      </c>
      <c r="H384" s="939"/>
      <c r="I384" s="939" t="s">
        <v>550</v>
      </c>
      <c r="J384" s="1752" t="s">
        <v>5792</v>
      </c>
      <c r="K384" s="176">
        <v>44466</v>
      </c>
      <c r="L384" s="5">
        <v>44541</v>
      </c>
      <c r="M384" s="1199" t="s">
        <v>4732</v>
      </c>
      <c r="N384" s="3" t="s">
        <v>2527</v>
      </c>
      <c r="O384" s="939" t="s">
        <v>4738</v>
      </c>
      <c r="P384" s="937">
        <v>44526</v>
      </c>
      <c r="Q384" s="937">
        <v>44526</v>
      </c>
      <c r="R384" s="1034" t="s">
        <v>4223</v>
      </c>
      <c r="S384" s="943"/>
      <c r="T384" s="1747"/>
      <c r="U384" s="936"/>
    </row>
    <row r="385" spans="1:21" ht="60" customHeight="1">
      <c r="A385" s="936" t="s">
        <v>2479</v>
      </c>
      <c r="B385" s="937">
        <v>44526</v>
      </c>
      <c r="C385" s="936">
        <f t="shared" si="32"/>
        <v>2</v>
      </c>
      <c r="D385" s="936">
        <f t="shared" si="33"/>
        <v>6</v>
      </c>
      <c r="E385" s="945" t="s">
        <v>4054</v>
      </c>
      <c r="F385" s="936">
        <f t="shared" si="34"/>
        <v>16</v>
      </c>
      <c r="G385" s="1035" t="s">
        <v>5311</v>
      </c>
      <c r="H385" s="939"/>
      <c r="I385" s="939" t="s">
        <v>550</v>
      </c>
      <c r="J385" s="1752" t="s">
        <v>5792</v>
      </c>
      <c r="K385" s="176">
        <v>44438</v>
      </c>
      <c r="L385" s="5">
        <v>44492</v>
      </c>
      <c r="M385" s="1199" t="s">
        <v>2491</v>
      </c>
      <c r="N385" s="3" t="s">
        <v>2580</v>
      </c>
      <c r="O385" s="939" t="s">
        <v>4738</v>
      </c>
      <c r="P385" s="937">
        <v>44526</v>
      </c>
      <c r="Q385" s="937">
        <v>44526</v>
      </c>
      <c r="R385" s="1034" t="s">
        <v>4223</v>
      </c>
      <c r="S385" s="943"/>
      <c r="T385" s="1747"/>
      <c r="U385" s="936"/>
    </row>
    <row r="386" spans="1:21" ht="72" customHeight="1">
      <c r="A386" s="936" t="s">
        <v>2479</v>
      </c>
      <c r="B386" s="937">
        <v>44526</v>
      </c>
      <c r="C386" s="936">
        <f t="shared" si="32"/>
        <v>2</v>
      </c>
      <c r="D386" s="936">
        <f t="shared" si="33"/>
        <v>6</v>
      </c>
      <c r="E386" s="945" t="s">
        <v>4054</v>
      </c>
      <c r="F386" s="936">
        <f t="shared" si="34"/>
        <v>17</v>
      </c>
      <c r="G386" s="1035" t="s">
        <v>5312</v>
      </c>
      <c r="H386" s="939"/>
      <c r="I386" s="939" t="s">
        <v>550</v>
      </c>
      <c r="J386" s="1752" t="s">
        <v>5792</v>
      </c>
      <c r="K386" s="176">
        <v>44438</v>
      </c>
      <c r="L386" s="5">
        <v>44492</v>
      </c>
      <c r="M386" s="1199" t="s">
        <v>4713</v>
      </c>
      <c r="N386" s="3" t="s">
        <v>2580</v>
      </c>
      <c r="O386" s="939" t="s">
        <v>4738</v>
      </c>
      <c r="P386" s="937">
        <v>44526</v>
      </c>
      <c r="Q386" s="937">
        <v>44526</v>
      </c>
      <c r="R386" s="1034" t="s">
        <v>4223</v>
      </c>
      <c r="S386" s="943"/>
      <c r="T386" s="1747"/>
      <c r="U386" s="936"/>
    </row>
    <row r="387" spans="1:21" ht="60.75" customHeight="1">
      <c r="A387" s="936" t="s">
        <v>2479</v>
      </c>
      <c r="B387" s="937">
        <v>44526</v>
      </c>
      <c r="C387" s="936">
        <f t="shared" si="32"/>
        <v>2</v>
      </c>
      <c r="D387" s="936">
        <f t="shared" si="33"/>
        <v>6</v>
      </c>
      <c r="E387" s="945" t="s">
        <v>4055</v>
      </c>
      <c r="F387" s="936">
        <f>F386+1</f>
        <v>18</v>
      </c>
      <c r="G387" s="1035" t="s">
        <v>5313</v>
      </c>
      <c r="H387" s="939"/>
      <c r="I387" s="939" t="s">
        <v>550</v>
      </c>
      <c r="J387" s="1752" t="s">
        <v>5792</v>
      </c>
      <c r="K387" s="176">
        <v>44487</v>
      </c>
      <c r="L387" s="5">
        <v>44541</v>
      </c>
      <c r="M387" s="1199" t="s">
        <v>5349</v>
      </c>
      <c r="N387" s="3" t="s">
        <v>2666</v>
      </c>
      <c r="O387" s="939" t="s">
        <v>4738</v>
      </c>
      <c r="P387" s="937">
        <v>44526</v>
      </c>
      <c r="Q387" s="937">
        <v>44526</v>
      </c>
      <c r="R387" s="1034" t="s">
        <v>4223</v>
      </c>
      <c r="S387" s="943"/>
      <c r="T387" s="1747"/>
      <c r="U387" s="936"/>
    </row>
    <row r="388" spans="1:21" ht="57.75" customHeight="1">
      <c r="A388" s="936" t="s">
        <v>2479</v>
      </c>
      <c r="B388" s="937">
        <v>44526</v>
      </c>
      <c r="C388" s="936">
        <f t="shared" si="32"/>
        <v>2</v>
      </c>
      <c r="D388" s="936">
        <f t="shared" si="33"/>
        <v>6</v>
      </c>
      <c r="E388" s="945" t="s">
        <v>4056</v>
      </c>
      <c r="F388" s="936">
        <f>F387+1</f>
        <v>19</v>
      </c>
      <c r="G388" s="1035" t="s">
        <v>5314</v>
      </c>
      <c r="H388" s="939"/>
      <c r="I388" s="939" t="s">
        <v>550</v>
      </c>
      <c r="J388" s="1752" t="s">
        <v>5792</v>
      </c>
      <c r="K388" s="176">
        <v>44513</v>
      </c>
      <c r="L388" s="5">
        <v>44541</v>
      </c>
      <c r="M388" s="1199" t="s">
        <v>3149</v>
      </c>
      <c r="N388" s="3" t="s">
        <v>2518</v>
      </c>
      <c r="O388" s="939" t="s">
        <v>4738</v>
      </c>
      <c r="P388" s="937">
        <v>44526</v>
      </c>
      <c r="Q388" s="937">
        <v>44526</v>
      </c>
      <c r="R388" s="1034" t="s">
        <v>4223</v>
      </c>
      <c r="S388" s="943"/>
      <c r="T388" s="1747"/>
      <c r="U388" s="936"/>
    </row>
    <row r="389" spans="1:21" ht="40.5" customHeight="1">
      <c r="A389" s="936" t="s">
        <v>2479</v>
      </c>
      <c r="B389" s="937">
        <v>44526</v>
      </c>
      <c r="C389" s="936">
        <f t="shared" si="32"/>
        <v>2</v>
      </c>
      <c r="D389" s="936">
        <f t="shared" si="33"/>
        <v>6</v>
      </c>
      <c r="E389" s="945" t="s">
        <v>3609</v>
      </c>
      <c r="F389" s="936">
        <f>F388+1</f>
        <v>20</v>
      </c>
      <c r="G389" s="1035" t="s">
        <v>5315</v>
      </c>
      <c r="H389" s="939"/>
      <c r="I389" s="939" t="s">
        <v>550</v>
      </c>
      <c r="J389" s="1752" t="s">
        <v>5791</v>
      </c>
      <c r="K389" s="176"/>
      <c r="L389" s="5"/>
      <c r="M389" s="1199" t="s">
        <v>2482</v>
      </c>
      <c r="N389" s="3" t="s">
        <v>1975</v>
      </c>
      <c r="O389" s="939" t="s">
        <v>165</v>
      </c>
      <c r="P389" s="937">
        <v>44526</v>
      </c>
      <c r="Q389" s="937">
        <v>44526</v>
      </c>
      <c r="R389" s="1034" t="s">
        <v>4223</v>
      </c>
      <c r="S389" s="943"/>
      <c r="T389" s="1747"/>
      <c r="U389" s="936"/>
    </row>
    <row r="390" spans="1:21" ht="40.5" customHeight="1">
      <c r="A390" s="936" t="s">
        <v>2479</v>
      </c>
      <c r="B390" s="937">
        <v>44364</v>
      </c>
      <c r="C390" s="936">
        <v>9</v>
      </c>
      <c r="D390" s="936">
        <v>3</v>
      </c>
      <c r="E390" s="945" t="s">
        <v>3449</v>
      </c>
      <c r="F390" s="936">
        <v>1</v>
      </c>
      <c r="G390" s="1035" t="s">
        <v>4625</v>
      </c>
      <c r="H390" s="939"/>
      <c r="I390" s="939" t="s">
        <v>550</v>
      </c>
      <c r="J390" s="1752" t="s">
        <v>5791</v>
      </c>
      <c r="K390" s="176">
        <v>44231</v>
      </c>
      <c r="L390" s="5">
        <v>44377</v>
      </c>
      <c r="M390" s="1199" t="s">
        <v>2491</v>
      </c>
      <c r="N390" s="3" t="s">
        <v>2580</v>
      </c>
      <c r="O390" s="939" t="s">
        <v>165</v>
      </c>
      <c r="P390" s="937">
        <v>44364</v>
      </c>
      <c r="Q390" s="937">
        <v>44364</v>
      </c>
      <c r="R390" s="1034" t="s">
        <v>4223</v>
      </c>
      <c r="S390" s="943"/>
      <c r="T390" s="1747"/>
      <c r="U390" s="936"/>
    </row>
    <row r="391" spans="1:21" ht="40.5" customHeight="1">
      <c r="A391" s="936" t="s">
        <v>2479</v>
      </c>
      <c r="B391" s="937">
        <v>44364</v>
      </c>
      <c r="C391" s="936">
        <v>9</v>
      </c>
      <c r="D391" s="936">
        <v>3</v>
      </c>
      <c r="E391" s="945" t="s">
        <v>3451</v>
      </c>
      <c r="F391" s="936">
        <f>F390+1</f>
        <v>2</v>
      </c>
      <c r="G391" s="1035" t="s">
        <v>4626</v>
      </c>
      <c r="H391" s="939"/>
      <c r="I391" s="939" t="s">
        <v>550</v>
      </c>
      <c r="J391" s="1752" t="s">
        <v>5791</v>
      </c>
      <c r="K391" s="176">
        <v>44242</v>
      </c>
      <c r="L391" s="5">
        <v>44270</v>
      </c>
      <c r="M391" s="1199" t="s">
        <v>2491</v>
      </c>
      <c r="N391" s="3" t="s">
        <v>2580</v>
      </c>
      <c r="O391" s="939" t="s">
        <v>165</v>
      </c>
      <c r="P391" s="937">
        <v>44364</v>
      </c>
      <c r="Q391" s="937">
        <v>44364</v>
      </c>
      <c r="R391" s="1034" t="s">
        <v>4223</v>
      </c>
      <c r="S391" s="943"/>
      <c r="T391" s="1747"/>
      <c r="U391" s="936"/>
    </row>
    <row r="392" spans="1:21" ht="40.5" customHeight="1">
      <c r="A392" s="936" t="s">
        <v>2479</v>
      </c>
      <c r="B392" s="937">
        <v>44364</v>
      </c>
      <c r="C392" s="936">
        <v>9</v>
      </c>
      <c r="D392" s="936">
        <v>3</v>
      </c>
      <c r="E392" s="945" t="s">
        <v>3453</v>
      </c>
      <c r="F392" s="936">
        <f t="shared" ref="F392:F455" si="35">F391+1</f>
        <v>3</v>
      </c>
      <c r="G392" s="1035" t="s">
        <v>4627</v>
      </c>
      <c r="H392" s="939"/>
      <c r="I392" s="939" t="s">
        <v>550</v>
      </c>
      <c r="J392" s="1752" t="s">
        <v>5791</v>
      </c>
      <c r="K392" s="176">
        <v>44271</v>
      </c>
      <c r="L392" s="5">
        <v>44275</v>
      </c>
      <c r="M392" s="1199" t="s">
        <v>2491</v>
      </c>
      <c r="N392" s="3" t="s">
        <v>2580</v>
      </c>
      <c r="O392" s="939" t="s">
        <v>165</v>
      </c>
      <c r="P392" s="937">
        <v>44364</v>
      </c>
      <c r="Q392" s="937">
        <v>44364</v>
      </c>
      <c r="R392" s="1034" t="s">
        <v>4223</v>
      </c>
      <c r="S392" s="943"/>
      <c r="T392" s="1747"/>
      <c r="U392" s="936"/>
    </row>
    <row r="393" spans="1:21" ht="40.5" customHeight="1">
      <c r="A393" s="936" t="s">
        <v>2479</v>
      </c>
      <c r="B393" s="937">
        <v>44364</v>
      </c>
      <c r="C393" s="936">
        <v>9</v>
      </c>
      <c r="D393" s="936">
        <v>3</v>
      </c>
      <c r="E393" s="945" t="s">
        <v>3455</v>
      </c>
      <c r="F393" s="936">
        <f t="shared" si="35"/>
        <v>4</v>
      </c>
      <c r="G393" s="1035" t="s">
        <v>4628</v>
      </c>
      <c r="H393" s="939"/>
      <c r="I393" s="939" t="s">
        <v>550</v>
      </c>
      <c r="J393" s="1752" t="s">
        <v>5791</v>
      </c>
      <c r="K393" s="176">
        <v>44270</v>
      </c>
      <c r="L393" s="5">
        <v>44275</v>
      </c>
      <c r="M393" s="1199" t="s">
        <v>2491</v>
      </c>
      <c r="N393" s="3" t="s">
        <v>2580</v>
      </c>
      <c r="O393" s="939" t="s">
        <v>165</v>
      </c>
      <c r="P393" s="937">
        <v>44364</v>
      </c>
      <c r="Q393" s="937">
        <v>44364</v>
      </c>
      <c r="R393" s="1034" t="s">
        <v>4223</v>
      </c>
      <c r="S393" s="943"/>
      <c r="T393" s="1747"/>
      <c r="U393" s="936"/>
    </row>
    <row r="394" spans="1:21" ht="67.5" customHeight="1">
      <c r="A394" s="936" t="s">
        <v>2479</v>
      </c>
      <c r="B394" s="937">
        <v>44364</v>
      </c>
      <c r="C394" s="936">
        <v>9</v>
      </c>
      <c r="D394" s="936">
        <v>3</v>
      </c>
      <c r="E394" s="945" t="s">
        <v>3457</v>
      </c>
      <c r="F394" s="936">
        <f t="shared" si="35"/>
        <v>5</v>
      </c>
      <c r="G394" s="1035" t="s">
        <v>4629</v>
      </c>
      <c r="H394" s="939"/>
      <c r="I394" s="939" t="s">
        <v>550</v>
      </c>
      <c r="J394" s="1752" t="s">
        <v>5791</v>
      </c>
      <c r="K394" s="176">
        <v>44227</v>
      </c>
      <c r="L394" s="5">
        <v>44270</v>
      </c>
      <c r="M394" s="1199" t="s">
        <v>2491</v>
      </c>
      <c r="N394" s="3" t="s">
        <v>2580</v>
      </c>
      <c r="O394" s="939" t="s">
        <v>165</v>
      </c>
      <c r="P394" s="937">
        <v>44364</v>
      </c>
      <c r="Q394" s="937">
        <v>44364</v>
      </c>
      <c r="R394" s="1034" t="s">
        <v>4223</v>
      </c>
      <c r="S394" s="943"/>
      <c r="T394" s="1747"/>
      <c r="U394" s="936"/>
    </row>
    <row r="395" spans="1:21" ht="99" customHeight="1">
      <c r="A395" s="936" t="s">
        <v>2479</v>
      </c>
      <c r="B395" s="937">
        <v>44364</v>
      </c>
      <c r="C395" s="936">
        <v>9</v>
      </c>
      <c r="D395" s="936">
        <v>3</v>
      </c>
      <c r="E395" s="945" t="s">
        <v>3605</v>
      </c>
      <c r="F395" s="936">
        <f t="shared" si="35"/>
        <v>6</v>
      </c>
      <c r="G395" s="1035" t="s">
        <v>4630</v>
      </c>
      <c r="H395" s="939"/>
      <c r="I395" s="939" t="s">
        <v>550</v>
      </c>
      <c r="J395" s="1752" t="s">
        <v>5791</v>
      </c>
      <c r="K395" s="176">
        <v>44242</v>
      </c>
      <c r="L395" s="5">
        <v>44332</v>
      </c>
      <c r="M395" s="1199" t="s">
        <v>4101</v>
      </c>
      <c r="N395" s="3" t="s">
        <v>2607</v>
      </c>
      <c r="O395" s="939" t="s">
        <v>165</v>
      </c>
      <c r="P395" s="937">
        <v>44364</v>
      </c>
      <c r="Q395" s="937">
        <v>44364</v>
      </c>
      <c r="R395" s="1034" t="s">
        <v>4223</v>
      </c>
      <c r="S395" s="943"/>
      <c r="T395" s="1747"/>
      <c r="U395" s="936"/>
    </row>
    <row r="396" spans="1:21" ht="99" customHeight="1">
      <c r="A396" s="936" t="s">
        <v>2479</v>
      </c>
      <c r="B396" s="937">
        <v>44364</v>
      </c>
      <c r="C396" s="936">
        <v>9</v>
      </c>
      <c r="D396" s="936">
        <v>3</v>
      </c>
      <c r="E396" s="945" t="s">
        <v>3606</v>
      </c>
      <c r="F396" s="936">
        <f t="shared" si="35"/>
        <v>7</v>
      </c>
      <c r="G396" s="1035" t="s">
        <v>4630</v>
      </c>
      <c r="H396" s="23" t="s">
        <v>3138</v>
      </c>
      <c r="I396" s="939" t="s">
        <v>550</v>
      </c>
      <c r="J396" s="1752" t="s">
        <v>5791</v>
      </c>
      <c r="K396" s="176">
        <v>44242</v>
      </c>
      <c r="L396" s="5">
        <v>44332</v>
      </c>
      <c r="M396" s="1199" t="s">
        <v>4101</v>
      </c>
      <c r="N396" s="3" t="s">
        <v>2607</v>
      </c>
      <c r="O396" s="939" t="s">
        <v>165</v>
      </c>
      <c r="P396" s="937">
        <v>44364</v>
      </c>
      <c r="Q396" s="937">
        <v>44364</v>
      </c>
      <c r="R396" s="1034" t="s">
        <v>4223</v>
      </c>
      <c r="S396" s="943"/>
      <c r="T396" s="1747"/>
      <c r="U396" s="936"/>
    </row>
    <row r="397" spans="1:21" ht="40.5" customHeight="1">
      <c r="A397" s="936" t="s">
        <v>2479</v>
      </c>
      <c r="B397" s="937">
        <v>44364</v>
      </c>
      <c r="C397" s="936">
        <v>9</v>
      </c>
      <c r="D397" s="936">
        <v>3</v>
      </c>
      <c r="E397" s="945" t="s">
        <v>3607</v>
      </c>
      <c r="F397" s="936">
        <f t="shared" si="35"/>
        <v>8</v>
      </c>
      <c r="G397" s="1035" t="s">
        <v>4631</v>
      </c>
      <c r="H397" s="939"/>
      <c r="I397" s="939" t="s">
        <v>550</v>
      </c>
      <c r="J397" s="1752" t="s">
        <v>5791</v>
      </c>
      <c r="K397" s="176">
        <v>44378</v>
      </c>
      <c r="L397" s="5">
        <v>44424</v>
      </c>
      <c r="M397" s="1199" t="s">
        <v>4632</v>
      </c>
      <c r="N397" s="3" t="s">
        <v>2580</v>
      </c>
      <c r="O397" s="939" t="s">
        <v>165</v>
      </c>
      <c r="P397" s="937">
        <v>44364</v>
      </c>
      <c r="Q397" s="937">
        <v>44364</v>
      </c>
      <c r="R397" s="1034" t="s">
        <v>4223</v>
      </c>
      <c r="S397" s="943"/>
      <c r="T397" s="1747"/>
      <c r="U397" s="936"/>
    </row>
    <row r="398" spans="1:21" ht="40.5" customHeight="1">
      <c r="A398" s="936" t="s">
        <v>2479</v>
      </c>
      <c r="B398" s="937">
        <v>44364</v>
      </c>
      <c r="C398" s="936">
        <v>9</v>
      </c>
      <c r="D398" s="936">
        <v>4</v>
      </c>
      <c r="E398" s="511" t="s">
        <v>3441</v>
      </c>
      <c r="F398" s="936">
        <f t="shared" si="35"/>
        <v>9</v>
      </c>
      <c r="G398" s="1035" t="s">
        <v>4633</v>
      </c>
      <c r="H398" s="939"/>
      <c r="I398" s="939" t="s">
        <v>550</v>
      </c>
      <c r="J398" s="1752" t="s">
        <v>5792</v>
      </c>
      <c r="K398" s="176">
        <v>44222</v>
      </c>
      <c r="L398" s="5">
        <v>44377</v>
      </c>
      <c r="M398" s="1199" t="s">
        <v>4634</v>
      </c>
      <c r="N398" s="3" t="s">
        <v>2607</v>
      </c>
      <c r="O398" s="939" t="s">
        <v>165</v>
      </c>
      <c r="P398" s="937">
        <v>44364</v>
      </c>
      <c r="Q398" s="937">
        <v>44364</v>
      </c>
      <c r="R398" s="1034" t="s">
        <v>4223</v>
      </c>
      <c r="S398" s="943"/>
      <c r="T398" s="1747"/>
      <c r="U398" s="936"/>
    </row>
    <row r="399" spans="1:21" ht="54" customHeight="1">
      <c r="A399" s="936" t="s">
        <v>2479</v>
      </c>
      <c r="B399" s="937">
        <v>44364</v>
      </c>
      <c r="C399" s="936">
        <v>9</v>
      </c>
      <c r="D399" s="936">
        <v>4</v>
      </c>
      <c r="E399" s="945" t="s">
        <v>4355</v>
      </c>
      <c r="F399" s="936">
        <f t="shared" si="35"/>
        <v>10</v>
      </c>
      <c r="G399" s="1035" t="s">
        <v>4635</v>
      </c>
      <c r="H399" s="939"/>
      <c r="I399" s="939" t="s">
        <v>550</v>
      </c>
      <c r="J399" s="1752" t="s">
        <v>5791</v>
      </c>
      <c r="K399" s="176">
        <v>44767</v>
      </c>
      <c r="L399" s="5">
        <v>44814</v>
      </c>
      <c r="M399" s="1199" t="s">
        <v>4636</v>
      </c>
      <c r="N399" s="3" t="s">
        <v>2607</v>
      </c>
      <c r="O399" s="939" t="s">
        <v>165</v>
      </c>
      <c r="P399" s="937">
        <v>44364</v>
      </c>
      <c r="Q399" s="937">
        <v>44364</v>
      </c>
      <c r="R399" s="1034" t="s">
        <v>4223</v>
      </c>
      <c r="S399" s="943"/>
      <c r="T399" s="1747"/>
      <c r="U399" s="936"/>
    </row>
    <row r="400" spans="1:21" ht="72" customHeight="1">
      <c r="A400" s="936" t="s">
        <v>2479</v>
      </c>
      <c r="B400" s="937">
        <v>44364</v>
      </c>
      <c r="C400" s="936">
        <v>9</v>
      </c>
      <c r="D400" s="936">
        <v>4</v>
      </c>
      <c r="E400" s="511" t="s">
        <v>4054</v>
      </c>
      <c r="F400" s="936">
        <f t="shared" si="35"/>
        <v>11</v>
      </c>
      <c r="G400" s="1035" t="s">
        <v>4637</v>
      </c>
      <c r="H400" s="939"/>
      <c r="I400" s="939" t="s">
        <v>550</v>
      </c>
      <c r="J400" s="1752" t="s">
        <v>5792</v>
      </c>
      <c r="K400" s="176">
        <v>44438</v>
      </c>
      <c r="L400" s="5">
        <v>44492</v>
      </c>
      <c r="M400" s="1199" t="s">
        <v>2491</v>
      </c>
      <c r="N400" s="3" t="s">
        <v>2580</v>
      </c>
      <c r="O400" s="939" t="s">
        <v>165</v>
      </c>
      <c r="P400" s="937">
        <v>44364</v>
      </c>
      <c r="Q400" s="937">
        <v>44364</v>
      </c>
      <c r="R400" s="1034" t="s">
        <v>4223</v>
      </c>
      <c r="S400" s="943"/>
      <c r="T400" s="1747"/>
      <c r="U400" s="936"/>
    </row>
    <row r="401" spans="1:21" ht="40.5" customHeight="1">
      <c r="A401" s="936" t="s">
        <v>2479</v>
      </c>
      <c r="B401" s="937">
        <v>44364</v>
      </c>
      <c r="C401" s="936">
        <v>9</v>
      </c>
      <c r="D401" s="936">
        <v>4</v>
      </c>
      <c r="E401" s="945" t="s">
        <v>4739</v>
      </c>
      <c r="F401" s="936">
        <f t="shared" si="35"/>
        <v>12</v>
      </c>
      <c r="G401" s="1035" t="s">
        <v>4638</v>
      </c>
      <c r="H401" s="939"/>
      <c r="I401" s="939" t="s">
        <v>550</v>
      </c>
      <c r="J401" s="1752"/>
      <c r="K401" s="176"/>
      <c r="L401" s="5"/>
      <c r="M401" s="1199" t="s">
        <v>4639</v>
      </c>
      <c r="N401" s="3" t="s">
        <v>1975</v>
      </c>
      <c r="O401" s="939" t="s">
        <v>165</v>
      </c>
      <c r="P401" s="937">
        <v>44364</v>
      </c>
      <c r="Q401" s="937">
        <v>44364</v>
      </c>
      <c r="R401" s="1034" t="s">
        <v>4223</v>
      </c>
      <c r="S401" s="943"/>
      <c r="T401" s="1747"/>
      <c r="U401" s="936"/>
    </row>
    <row r="402" spans="1:21" ht="40.5" customHeight="1">
      <c r="A402" s="936" t="s">
        <v>2479</v>
      </c>
      <c r="B402" s="937">
        <v>44364</v>
      </c>
      <c r="C402" s="936">
        <v>9</v>
      </c>
      <c r="D402" s="936">
        <v>4</v>
      </c>
      <c r="E402" s="945" t="s">
        <v>3445</v>
      </c>
      <c r="F402" s="936">
        <f t="shared" si="35"/>
        <v>13</v>
      </c>
      <c r="G402" s="1035" t="s">
        <v>4640</v>
      </c>
      <c r="H402" s="939"/>
      <c r="I402" s="939" t="s">
        <v>550</v>
      </c>
      <c r="J402" s="1752" t="s">
        <v>5792</v>
      </c>
      <c r="K402" s="176">
        <v>44228</v>
      </c>
      <c r="L402" s="5">
        <v>44281</v>
      </c>
      <c r="M402" s="1199" t="s">
        <v>4641</v>
      </c>
      <c r="N402" s="3" t="s">
        <v>2509</v>
      </c>
      <c r="O402" s="939" t="s">
        <v>165</v>
      </c>
      <c r="P402" s="937">
        <v>44364</v>
      </c>
      <c r="Q402" s="937">
        <v>44364</v>
      </c>
      <c r="R402" s="1034" t="s">
        <v>4223</v>
      </c>
      <c r="S402" s="943"/>
      <c r="T402" s="1747"/>
      <c r="U402" s="936"/>
    </row>
    <row r="403" spans="1:21" ht="40.5" customHeight="1">
      <c r="A403" s="936" t="s">
        <v>2479</v>
      </c>
      <c r="B403" s="937">
        <v>44364</v>
      </c>
      <c r="C403" s="936">
        <v>9</v>
      </c>
      <c r="D403" s="936">
        <v>4</v>
      </c>
      <c r="E403" s="945" t="s">
        <v>3897</v>
      </c>
      <c r="F403" s="936">
        <f t="shared" si="35"/>
        <v>14</v>
      </c>
      <c r="G403" s="1035" t="s">
        <v>4642</v>
      </c>
      <c r="H403" s="939"/>
      <c r="I403" s="939" t="s">
        <v>550</v>
      </c>
      <c r="J403" s="1752" t="s">
        <v>5792</v>
      </c>
      <c r="K403" s="176">
        <v>44236</v>
      </c>
      <c r="L403" s="5">
        <v>44257</v>
      </c>
      <c r="M403" s="1199" t="s">
        <v>3979</v>
      </c>
      <c r="N403" s="3" t="s">
        <v>1975</v>
      </c>
      <c r="O403" s="939" t="s">
        <v>165</v>
      </c>
      <c r="P403" s="937">
        <v>44364</v>
      </c>
      <c r="Q403" s="937">
        <v>44364</v>
      </c>
      <c r="R403" s="1034" t="s">
        <v>4223</v>
      </c>
      <c r="S403" s="943"/>
      <c r="T403" s="1747"/>
      <c r="U403" s="936"/>
    </row>
    <row r="404" spans="1:21" ht="40.5" customHeight="1">
      <c r="A404" s="936" t="s">
        <v>2479</v>
      </c>
      <c r="B404" s="937">
        <v>44364</v>
      </c>
      <c r="C404" s="936">
        <v>9</v>
      </c>
      <c r="D404" s="936">
        <v>4</v>
      </c>
      <c r="E404" s="945" t="s">
        <v>3450</v>
      </c>
      <c r="F404" s="936">
        <f t="shared" si="35"/>
        <v>15</v>
      </c>
      <c r="G404" s="1035" t="s">
        <v>4643</v>
      </c>
      <c r="H404" s="939"/>
      <c r="I404" s="939" t="s">
        <v>550</v>
      </c>
      <c r="J404" s="1752" t="s">
        <v>5791</v>
      </c>
      <c r="K404" s="176">
        <v>44508</v>
      </c>
      <c r="L404" s="5">
        <v>44548</v>
      </c>
      <c r="M404" s="1199" t="s">
        <v>3149</v>
      </c>
      <c r="N404" s="3" t="s">
        <v>2518</v>
      </c>
      <c r="O404" s="939" t="s">
        <v>165</v>
      </c>
      <c r="P404" s="937">
        <v>44364</v>
      </c>
      <c r="Q404" s="937">
        <v>44364</v>
      </c>
      <c r="R404" s="1034" t="s">
        <v>4223</v>
      </c>
      <c r="S404" s="943"/>
      <c r="T404" s="1747"/>
      <c r="U404" s="936"/>
    </row>
    <row r="405" spans="1:21" ht="75" customHeight="1">
      <c r="A405" s="936" t="s">
        <v>2479</v>
      </c>
      <c r="B405" s="937">
        <v>44364</v>
      </c>
      <c r="C405" s="936">
        <v>9</v>
      </c>
      <c r="D405" s="936">
        <v>4</v>
      </c>
      <c r="E405" s="945" t="s">
        <v>3608</v>
      </c>
      <c r="F405" s="936">
        <f t="shared" si="35"/>
        <v>16</v>
      </c>
      <c r="G405" s="1035" t="s">
        <v>4644</v>
      </c>
      <c r="H405" s="939"/>
      <c r="I405" s="939" t="s">
        <v>550</v>
      </c>
      <c r="J405" s="1752" t="s">
        <v>5791</v>
      </c>
      <c r="K405" s="176">
        <v>44322</v>
      </c>
      <c r="L405" s="5">
        <v>44347</v>
      </c>
      <c r="M405" s="1199" t="s">
        <v>4645</v>
      </c>
      <c r="N405" s="3" t="s">
        <v>1975</v>
      </c>
      <c r="O405" s="939" t="s">
        <v>165</v>
      </c>
      <c r="P405" s="937">
        <v>44364</v>
      </c>
      <c r="Q405" s="937">
        <v>44364</v>
      </c>
      <c r="R405" s="1034" t="s">
        <v>4223</v>
      </c>
      <c r="S405" s="943"/>
      <c r="T405" s="1747"/>
      <c r="U405" s="936"/>
    </row>
    <row r="406" spans="1:21" ht="64.5" customHeight="1">
      <c r="A406" s="936" t="s">
        <v>2479</v>
      </c>
      <c r="B406" s="937">
        <v>44364</v>
      </c>
      <c r="C406" s="936">
        <v>9</v>
      </c>
      <c r="D406" s="936">
        <v>4</v>
      </c>
      <c r="E406" s="945" t="s">
        <v>3317</v>
      </c>
      <c r="F406" s="936">
        <f t="shared" si="35"/>
        <v>17</v>
      </c>
      <c r="G406" s="1035" t="s">
        <v>4646</v>
      </c>
      <c r="H406" s="939"/>
      <c r="I406" s="939" t="s">
        <v>550</v>
      </c>
      <c r="J406" s="1752" t="s">
        <v>5791</v>
      </c>
      <c r="K406" s="176">
        <v>44194</v>
      </c>
      <c r="L406" s="5">
        <v>44284</v>
      </c>
      <c r="M406" s="1199" t="s">
        <v>4647</v>
      </c>
      <c r="N406" s="3" t="s">
        <v>4229</v>
      </c>
      <c r="O406" s="939" t="s">
        <v>165</v>
      </c>
      <c r="P406" s="937">
        <v>44364</v>
      </c>
      <c r="Q406" s="937">
        <v>44364</v>
      </c>
      <c r="R406" s="1034" t="s">
        <v>4223</v>
      </c>
      <c r="S406" s="943"/>
      <c r="T406" s="1747"/>
      <c r="U406" s="936"/>
    </row>
    <row r="407" spans="1:21" ht="39.950000000000003" customHeight="1">
      <c r="A407" s="936" t="s">
        <v>2479</v>
      </c>
      <c r="B407" s="937">
        <v>44364</v>
      </c>
      <c r="C407" s="936">
        <v>9</v>
      </c>
      <c r="D407" s="936">
        <v>4</v>
      </c>
      <c r="E407" s="936"/>
      <c r="F407" s="936">
        <f t="shared" si="35"/>
        <v>18</v>
      </c>
      <c r="G407" s="1035" t="s">
        <v>4648</v>
      </c>
      <c r="H407" s="939"/>
      <c r="I407" s="939" t="s">
        <v>2313</v>
      </c>
      <c r="J407" s="1752"/>
      <c r="K407" s="176"/>
      <c r="L407" s="5"/>
      <c r="M407" s="1199" t="s">
        <v>4649</v>
      </c>
      <c r="N407" s="3" t="s">
        <v>2527</v>
      </c>
      <c r="O407" s="939" t="s">
        <v>165</v>
      </c>
      <c r="P407" s="937">
        <v>44364</v>
      </c>
      <c r="Q407" s="937">
        <v>44364</v>
      </c>
      <c r="R407" s="1034" t="s">
        <v>4223</v>
      </c>
      <c r="S407" s="943"/>
      <c r="T407" s="1564"/>
      <c r="U407" s="936"/>
    </row>
    <row r="408" spans="1:21" ht="39.950000000000003" customHeight="1">
      <c r="A408" s="936" t="s">
        <v>2479</v>
      </c>
      <c r="B408" s="937">
        <v>44364</v>
      </c>
      <c r="C408" s="936">
        <v>9</v>
      </c>
      <c r="D408" s="936">
        <v>4</v>
      </c>
      <c r="E408" s="936"/>
      <c r="F408" s="936">
        <f t="shared" si="35"/>
        <v>19</v>
      </c>
      <c r="G408" s="1035" t="s">
        <v>4650</v>
      </c>
      <c r="H408" s="939"/>
      <c r="I408" s="939" t="s">
        <v>2313</v>
      </c>
      <c r="J408" s="1752"/>
      <c r="K408" s="176"/>
      <c r="L408" s="5"/>
      <c r="M408" s="1199" t="s">
        <v>4651</v>
      </c>
      <c r="N408" s="3" t="s">
        <v>2527</v>
      </c>
      <c r="O408" s="939" t="s">
        <v>165</v>
      </c>
      <c r="P408" s="937">
        <v>44364</v>
      </c>
      <c r="Q408" s="937">
        <v>44364</v>
      </c>
      <c r="R408" s="1034" t="s">
        <v>4223</v>
      </c>
      <c r="S408" s="943"/>
      <c r="T408" s="1564"/>
      <c r="U408" s="936"/>
    </row>
    <row r="409" spans="1:21" ht="39.950000000000003" customHeight="1">
      <c r="A409" s="936" t="s">
        <v>2479</v>
      </c>
      <c r="B409" s="937">
        <v>44364</v>
      </c>
      <c r="C409" s="936">
        <v>9</v>
      </c>
      <c r="D409" s="936">
        <v>4</v>
      </c>
      <c r="E409" s="511" t="s">
        <v>4313</v>
      </c>
      <c r="F409" s="936">
        <f t="shared" si="35"/>
        <v>20</v>
      </c>
      <c r="G409" s="1035" t="s">
        <v>4652</v>
      </c>
      <c r="H409" s="939"/>
      <c r="I409" s="939" t="s">
        <v>550</v>
      </c>
      <c r="J409" s="1752" t="s">
        <v>5792</v>
      </c>
      <c r="K409" s="176">
        <v>44886</v>
      </c>
      <c r="L409" s="5">
        <v>44893</v>
      </c>
      <c r="M409" s="1199" t="s">
        <v>2612</v>
      </c>
      <c r="N409" s="3" t="s">
        <v>2535</v>
      </c>
      <c r="O409" s="939" t="s">
        <v>165</v>
      </c>
      <c r="P409" s="937">
        <v>44364</v>
      </c>
      <c r="Q409" s="937">
        <v>44364</v>
      </c>
      <c r="R409" s="1034" t="s">
        <v>4223</v>
      </c>
      <c r="S409" s="943"/>
      <c r="T409" s="1747"/>
      <c r="U409" s="936"/>
    </row>
    <row r="410" spans="1:21" ht="39.950000000000003" customHeight="1">
      <c r="A410" s="936" t="s">
        <v>2479</v>
      </c>
      <c r="B410" s="937">
        <v>44364</v>
      </c>
      <c r="C410" s="936">
        <v>9</v>
      </c>
      <c r="D410" s="936">
        <v>4</v>
      </c>
      <c r="E410" s="936"/>
      <c r="F410" s="936">
        <f t="shared" si="35"/>
        <v>21</v>
      </c>
      <c r="G410" s="1035" t="s">
        <v>4653</v>
      </c>
      <c r="H410" s="939"/>
      <c r="I410" s="939" t="s">
        <v>2313</v>
      </c>
      <c r="J410" s="1752"/>
      <c r="K410" s="176"/>
      <c r="L410" s="5"/>
      <c r="M410" s="1199" t="s">
        <v>4654</v>
      </c>
      <c r="N410" s="3" t="s">
        <v>1976</v>
      </c>
      <c r="O410" s="939" t="s">
        <v>165</v>
      </c>
      <c r="P410" s="937">
        <v>44364</v>
      </c>
      <c r="Q410" s="937">
        <v>44364</v>
      </c>
      <c r="R410" s="1034" t="s">
        <v>4223</v>
      </c>
      <c r="S410" s="943"/>
      <c r="T410" s="1564"/>
      <c r="U410" s="936"/>
    </row>
    <row r="411" spans="1:21" ht="39.950000000000003" customHeight="1">
      <c r="A411" s="936" t="s">
        <v>2479</v>
      </c>
      <c r="B411" s="937">
        <v>44364</v>
      </c>
      <c r="C411" s="936">
        <v>9</v>
      </c>
      <c r="D411" s="936">
        <v>4</v>
      </c>
      <c r="E411" s="936"/>
      <c r="F411" s="936">
        <f t="shared" si="35"/>
        <v>22</v>
      </c>
      <c r="G411" s="1035" t="s">
        <v>4655</v>
      </c>
      <c r="H411" s="939"/>
      <c r="I411" s="939" t="s">
        <v>2313</v>
      </c>
      <c r="J411" s="1752"/>
      <c r="K411" s="176"/>
      <c r="L411" s="5"/>
      <c r="M411" s="1199" t="s">
        <v>4654</v>
      </c>
      <c r="N411" s="3" t="s">
        <v>1976</v>
      </c>
      <c r="O411" s="939" t="s">
        <v>165</v>
      </c>
      <c r="P411" s="937">
        <v>44364</v>
      </c>
      <c r="Q411" s="937">
        <v>44364</v>
      </c>
      <c r="R411" s="1034" t="s">
        <v>4223</v>
      </c>
      <c r="S411" s="943"/>
      <c r="T411" s="1564"/>
      <c r="U411" s="936"/>
    </row>
    <row r="412" spans="1:21" ht="51.75" customHeight="1">
      <c r="A412" s="936" t="s">
        <v>2479</v>
      </c>
      <c r="B412" s="937">
        <v>44364</v>
      </c>
      <c r="C412" s="936">
        <v>9</v>
      </c>
      <c r="D412" s="936">
        <v>4</v>
      </c>
      <c r="E412" s="945" t="s">
        <v>2734</v>
      </c>
      <c r="F412" s="936">
        <f t="shared" si="35"/>
        <v>23</v>
      </c>
      <c r="G412" s="1035" t="s">
        <v>3402</v>
      </c>
      <c r="H412" s="939"/>
      <c r="I412" s="939" t="s">
        <v>550</v>
      </c>
      <c r="J412" s="1752" t="s">
        <v>5792</v>
      </c>
      <c r="K412" s="176">
        <v>44166</v>
      </c>
      <c r="L412" s="5">
        <v>44196</v>
      </c>
      <c r="M412" s="1199" t="s">
        <v>4257</v>
      </c>
      <c r="N412" s="3" t="s">
        <v>2509</v>
      </c>
      <c r="O412" s="939" t="s">
        <v>165</v>
      </c>
      <c r="P412" s="937">
        <v>44364</v>
      </c>
      <c r="Q412" s="937">
        <v>44364</v>
      </c>
      <c r="R412" s="1034" t="s">
        <v>4223</v>
      </c>
      <c r="S412" s="943"/>
      <c r="T412" s="1747"/>
      <c r="U412" s="936"/>
    </row>
    <row r="413" spans="1:21" ht="39.950000000000003" customHeight="1">
      <c r="A413" s="936" t="s">
        <v>2479</v>
      </c>
      <c r="B413" s="937">
        <v>44364</v>
      </c>
      <c r="C413" s="936">
        <v>9</v>
      </c>
      <c r="D413" s="936">
        <v>4</v>
      </c>
      <c r="E413" s="936"/>
      <c r="F413" s="936">
        <f t="shared" si="35"/>
        <v>24</v>
      </c>
      <c r="G413" s="1035" t="s">
        <v>4656</v>
      </c>
      <c r="H413" s="939"/>
      <c r="I413" s="939" t="s">
        <v>2313</v>
      </c>
      <c r="J413" s="1752"/>
      <c r="K413" s="176"/>
      <c r="L413" s="5"/>
      <c r="M413" s="1199" t="s">
        <v>4657</v>
      </c>
      <c r="N413" s="3" t="s">
        <v>2515</v>
      </c>
      <c r="O413" s="939" t="s">
        <v>165</v>
      </c>
      <c r="P413" s="937">
        <v>44364</v>
      </c>
      <c r="Q413" s="937">
        <v>44364</v>
      </c>
      <c r="R413" s="1034" t="s">
        <v>4223</v>
      </c>
      <c r="S413" s="943"/>
      <c r="T413" s="1564"/>
      <c r="U413" s="936"/>
    </row>
    <row r="414" spans="1:21" ht="39.950000000000003" customHeight="1">
      <c r="A414" s="936" t="s">
        <v>2479</v>
      </c>
      <c r="B414" s="937">
        <v>44364</v>
      </c>
      <c r="C414" s="936">
        <v>9</v>
      </c>
      <c r="D414" s="936">
        <v>4</v>
      </c>
      <c r="E414" s="945" t="s">
        <v>4346</v>
      </c>
      <c r="F414" s="936">
        <f t="shared" si="35"/>
        <v>25</v>
      </c>
      <c r="G414" s="1035" t="s">
        <v>4658</v>
      </c>
      <c r="H414" s="939"/>
      <c r="I414" s="939" t="s">
        <v>550</v>
      </c>
      <c r="J414" s="1752" t="s">
        <v>5791</v>
      </c>
      <c r="K414" s="176">
        <v>44634</v>
      </c>
      <c r="L414" s="5">
        <v>44639</v>
      </c>
      <c r="M414" s="1199" t="s">
        <v>4657</v>
      </c>
      <c r="N414" s="3" t="s">
        <v>2515</v>
      </c>
      <c r="O414" s="939" t="s">
        <v>165</v>
      </c>
      <c r="P414" s="937">
        <v>44364</v>
      </c>
      <c r="Q414" s="937">
        <v>44364</v>
      </c>
      <c r="R414" s="1034" t="s">
        <v>4223</v>
      </c>
      <c r="S414" s="943"/>
      <c r="T414" s="1747"/>
      <c r="U414" s="936"/>
    </row>
    <row r="415" spans="1:21" ht="39.950000000000003" customHeight="1">
      <c r="A415" s="936" t="s">
        <v>2479</v>
      </c>
      <c r="B415" s="937">
        <v>44364</v>
      </c>
      <c r="C415" s="936">
        <v>9</v>
      </c>
      <c r="D415" s="936">
        <v>4</v>
      </c>
      <c r="E415" s="945" t="s">
        <v>3447</v>
      </c>
      <c r="F415" s="936">
        <f t="shared" si="35"/>
        <v>26</v>
      </c>
      <c r="G415" s="1035" t="s">
        <v>4659</v>
      </c>
      <c r="H415" s="939"/>
      <c r="I415" s="939" t="s">
        <v>550</v>
      </c>
      <c r="J415" s="1752" t="s">
        <v>5792</v>
      </c>
      <c r="K415" s="176">
        <v>44361</v>
      </c>
      <c r="L415" s="5">
        <v>44379</v>
      </c>
      <c r="M415" s="1199" t="s">
        <v>4657</v>
      </c>
      <c r="N415" s="3" t="s">
        <v>2515</v>
      </c>
      <c r="O415" s="939" t="s">
        <v>165</v>
      </c>
      <c r="P415" s="937">
        <v>44364</v>
      </c>
      <c r="Q415" s="937">
        <v>44364</v>
      </c>
      <c r="R415" s="1034" t="s">
        <v>4223</v>
      </c>
      <c r="S415" s="943"/>
      <c r="T415" s="1747"/>
      <c r="U415" s="936"/>
    </row>
    <row r="416" spans="1:21" ht="39.950000000000003" customHeight="1">
      <c r="A416" s="936" t="s">
        <v>2479</v>
      </c>
      <c r="B416" s="937">
        <v>44364</v>
      </c>
      <c r="C416" s="936">
        <v>9</v>
      </c>
      <c r="D416" s="936">
        <f>D415</f>
        <v>4</v>
      </c>
      <c r="E416" s="936"/>
      <c r="F416" s="936">
        <f t="shared" si="35"/>
        <v>27</v>
      </c>
      <c r="G416" s="1035" t="s">
        <v>4660</v>
      </c>
      <c r="H416" s="939"/>
      <c r="I416" s="939" t="s">
        <v>2313</v>
      </c>
      <c r="J416" s="1752"/>
      <c r="K416" s="176"/>
      <c r="L416" s="5"/>
      <c r="M416" s="1199" t="s">
        <v>4661</v>
      </c>
      <c r="N416" s="3" t="s">
        <v>1975</v>
      </c>
      <c r="O416" s="939" t="s">
        <v>165</v>
      </c>
      <c r="P416" s="937">
        <v>44364</v>
      </c>
      <c r="Q416" s="937">
        <v>44364</v>
      </c>
      <c r="R416" s="1034" t="s">
        <v>4223</v>
      </c>
      <c r="S416" s="943"/>
      <c r="T416" s="1564"/>
      <c r="U416" s="936"/>
    </row>
    <row r="417" spans="1:21" ht="39.950000000000003" customHeight="1">
      <c r="A417" s="936" t="s">
        <v>2479</v>
      </c>
      <c r="B417" s="937">
        <v>44364</v>
      </c>
      <c r="C417" s="936">
        <v>9</v>
      </c>
      <c r="D417" s="936">
        <f t="shared" ref="D417:D445" si="36">D416</f>
        <v>4</v>
      </c>
      <c r="E417" s="936"/>
      <c r="F417" s="936">
        <f t="shared" si="35"/>
        <v>28</v>
      </c>
      <c r="G417" s="1035" t="s">
        <v>4662</v>
      </c>
      <c r="H417" s="939"/>
      <c r="I417" s="939" t="s">
        <v>2313</v>
      </c>
      <c r="J417" s="1752"/>
      <c r="K417" s="176"/>
      <c r="L417" s="5"/>
      <c r="M417" s="1199" t="s">
        <v>4663</v>
      </c>
      <c r="N417" s="3" t="s">
        <v>1975</v>
      </c>
      <c r="O417" s="939" t="s">
        <v>165</v>
      </c>
      <c r="P417" s="937">
        <v>44364</v>
      </c>
      <c r="Q417" s="937">
        <v>44364</v>
      </c>
      <c r="R417" s="1034" t="s">
        <v>4223</v>
      </c>
      <c r="S417" s="943"/>
      <c r="T417" s="1564"/>
      <c r="U417" s="936"/>
    </row>
    <row r="418" spans="1:21" ht="39.950000000000003" customHeight="1">
      <c r="A418" s="936" t="s">
        <v>2479</v>
      </c>
      <c r="B418" s="937">
        <v>44364</v>
      </c>
      <c r="C418" s="936">
        <v>9</v>
      </c>
      <c r="D418" s="936">
        <f t="shared" si="36"/>
        <v>4</v>
      </c>
      <c r="E418" s="945" t="s">
        <v>4739</v>
      </c>
      <c r="F418" s="936">
        <f t="shared" si="35"/>
        <v>29</v>
      </c>
      <c r="G418" s="1035" t="s">
        <v>4664</v>
      </c>
      <c r="H418" s="939"/>
      <c r="I418" s="939" t="s">
        <v>550</v>
      </c>
      <c r="J418" s="1752"/>
      <c r="K418" s="176"/>
      <c r="L418" s="5"/>
      <c r="M418" s="1199" t="s">
        <v>4101</v>
      </c>
      <c r="N418" s="3" t="s">
        <v>2578</v>
      </c>
      <c r="O418" s="939" t="s">
        <v>165</v>
      </c>
      <c r="P418" s="937">
        <v>44364</v>
      </c>
      <c r="Q418" s="937">
        <v>44364</v>
      </c>
      <c r="R418" s="1034" t="s">
        <v>4223</v>
      </c>
      <c r="S418" s="943"/>
      <c r="T418" s="1747"/>
      <c r="U418" s="936"/>
    </row>
    <row r="419" spans="1:21" ht="63" customHeight="1">
      <c r="A419" s="936" t="s">
        <v>2479</v>
      </c>
      <c r="B419" s="937">
        <v>44364</v>
      </c>
      <c r="C419" s="936">
        <v>9</v>
      </c>
      <c r="D419" s="936">
        <v>5</v>
      </c>
      <c r="E419" s="945" t="s">
        <v>4055</v>
      </c>
      <c r="F419" s="936">
        <f t="shared" si="35"/>
        <v>30</v>
      </c>
      <c r="G419" s="1035" t="s">
        <v>4665</v>
      </c>
      <c r="H419" s="939"/>
      <c r="I419" s="939" t="s">
        <v>550</v>
      </c>
      <c r="J419" s="1752" t="s">
        <v>5792</v>
      </c>
      <c r="K419" s="176">
        <v>44487</v>
      </c>
      <c r="L419" s="5">
        <v>44541</v>
      </c>
      <c r="M419" s="1199" t="s">
        <v>4079</v>
      </c>
      <c r="N419" s="3" t="s">
        <v>2666</v>
      </c>
      <c r="O419" s="939" t="s">
        <v>165</v>
      </c>
      <c r="P419" s="937">
        <v>44364</v>
      </c>
      <c r="Q419" s="937">
        <v>44364</v>
      </c>
      <c r="R419" s="1034" t="s">
        <v>4223</v>
      </c>
      <c r="S419" s="943"/>
      <c r="T419" s="1747"/>
      <c r="U419" s="936"/>
    </row>
    <row r="420" spans="1:21" ht="56.25" customHeight="1">
      <c r="A420" s="936" t="s">
        <v>2479</v>
      </c>
      <c r="B420" s="937">
        <v>44364</v>
      </c>
      <c r="C420" s="936">
        <v>9</v>
      </c>
      <c r="D420" s="936">
        <f t="shared" si="36"/>
        <v>5</v>
      </c>
      <c r="E420" s="511" t="s">
        <v>4739</v>
      </c>
      <c r="F420" s="936">
        <f t="shared" si="35"/>
        <v>31</v>
      </c>
      <c r="G420" s="1035" t="s">
        <v>4666</v>
      </c>
      <c r="H420" s="939"/>
      <c r="I420" s="939" t="s">
        <v>550</v>
      </c>
      <c r="J420" s="1752"/>
      <c r="K420" s="176"/>
      <c r="L420" s="5"/>
      <c r="M420" s="1199" t="s">
        <v>4079</v>
      </c>
      <c r="N420" s="3" t="s">
        <v>2666</v>
      </c>
      <c r="O420" s="939" t="s">
        <v>165</v>
      </c>
      <c r="P420" s="937">
        <v>44364</v>
      </c>
      <c r="Q420" s="937">
        <v>44364</v>
      </c>
      <c r="R420" s="1034" t="s">
        <v>4223</v>
      </c>
      <c r="S420" s="943"/>
      <c r="T420" s="1747"/>
      <c r="U420" s="936"/>
    </row>
    <row r="421" spans="1:21" ht="39.950000000000003" customHeight="1">
      <c r="A421" s="936" t="s">
        <v>2479</v>
      </c>
      <c r="B421" s="937">
        <v>44364</v>
      </c>
      <c r="C421" s="936">
        <v>9</v>
      </c>
      <c r="D421" s="936">
        <f t="shared" si="36"/>
        <v>5</v>
      </c>
      <c r="E421" s="945" t="s">
        <v>4739</v>
      </c>
      <c r="F421" s="936">
        <f t="shared" si="35"/>
        <v>32</v>
      </c>
      <c r="G421" s="1035" t="s">
        <v>4667</v>
      </c>
      <c r="H421" s="939"/>
      <c r="I421" s="939" t="s">
        <v>550</v>
      </c>
      <c r="J421" s="1752"/>
      <c r="K421" s="176"/>
      <c r="L421" s="5"/>
      <c r="M421" s="1199" t="s">
        <v>4079</v>
      </c>
      <c r="N421" s="3" t="s">
        <v>2666</v>
      </c>
      <c r="O421" s="939" t="s">
        <v>165</v>
      </c>
      <c r="P421" s="937">
        <v>44364</v>
      </c>
      <c r="Q421" s="937">
        <v>44364</v>
      </c>
      <c r="R421" s="1034" t="s">
        <v>4223</v>
      </c>
      <c r="S421" s="943"/>
      <c r="T421" s="1747"/>
      <c r="U421" s="936"/>
    </row>
    <row r="422" spans="1:21" ht="56.25" customHeight="1">
      <c r="A422" s="936" t="s">
        <v>2479</v>
      </c>
      <c r="B422" s="937">
        <v>44364</v>
      </c>
      <c r="C422" s="936">
        <v>9</v>
      </c>
      <c r="D422" s="936">
        <f t="shared" si="36"/>
        <v>5</v>
      </c>
      <c r="E422" s="945" t="s">
        <v>3450</v>
      </c>
      <c r="F422" s="936">
        <v>1</v>
      </c>
      <c r="G422" s="1035" t="s">
        <v>4669</v>
      </c>
      <c r="H422" s="939"/>
      <c r="I422" s="939" t="s">
        <v>550</v>
      </c>
      <c r="J422" s="1752" t="s">
        <v>5791</v>
      </c>
      <c r="K422" s="176">
        <v>44211</v>
      </c>
      <c r="L422" s="5">
        <v>44270</v>
      </c>
      <c r="M422" s="1199" t="s">
        <v>2491</v>
      </c>
      <c r="N422" s="3" t="s">
        <v>1975</v>
      </c>
      <c r="O422" s="939" t="s">
        <v>76</v>
      </c>
      <c r="P422" s="937">
        <v>44364</v>
      </c>
      <c r="Q422" s="937">
        <v>44364</v>
      </c>
      <c r="R422" s="1034" t="s">
        <v>4223</v>
      </c>
      <c r="S422" s="943"/>
      <c r="T422" s="1747"/>
      <c r="U422" s="936"/>
    </row>
    <row r="423" spans="1:21" ht="49.5" customHeight="1">
      <c r="A423" s="936" t="s">
        <v>2479</v>
      </c>
      <c r="B423" s="937">
        <v>44364</v>
      </c>
      <c r="C423" s="936">
        <v>9</v>
      </c>
      <c r="D423" s="936">
        <f t="shared" si="36"/>
        <v>5</v>
      </c>
      <c r="E423" s="945" t="s">
        <v>3452</v>
      </c>
      <c r="F423" s="936">
        <f t="shared" si="35"/>
        <v>2</v>
      </c>
      <c r="G423" s="1035" t="s">
        <v>4670</v>
      </c>
      <c r="H423" s="939"/>
      <c r="I423" s="939" t="s">
        <v>550</v>
      </c>
      <c r="J423" s="1752" t="s">
        <v>5791</v>
      </c>
      <c r="K423" s="176">
        <v>44211</v>
      </c>
      <c r="L423" s="5">
        <v>44266</v>
      </c>
      <c r="M423" s="1199" t="s">
        <v>2491</v>
      </c>
      <c r="N423" s="3" t="s">
        <v>1975</v>
      </c>
      <c r="O423" s="939" t="str">
        <f>O422</f>
        <v>RAMO 33</v>
      </c>
      <c r="P423" s="937">
        <v>44364</v>
      </c>
      <c r="Q423" s="937">
        <v>44364</v>
      </c>
      <c r="R423" s="1034" t="s">
        <v>4223</v>
      </c>
      <c r="S423" s="943"/>
      <c r="T423" s="1747"/>
      <c r="U423" s="936"/>
    </row>
    <row r="424" spans="1:21" ht="51" customHeight="1">
      <c r="A424" s="936" t="s">
        <v>2479</v>
      </c>
      <c r="B424" s="937">
        <v>44364</v>
      </c>
      <c r="C424" s="936">
        <v>9</v>
      </c>
      <c r="D424" s="936">
        <f t="shared" si="36"/>
        <v>5</v>
      </c>
      <c r="E424" s="945" t="s">
        <v>3454</v>
      </c>
      <c r="F424" s="936">
        <f t="shared" si="35"/>
        <v>3</v>
      </c>
      <c r="G424" s="1035" t="s">
        <v>4671</v>
      </c>
      <c r="H424" s="939"/>
      <c r="I424" s="939" t="s">
        <v>550</v>
      </c>
      <c r="J424" s="1752" t="s">
        <v>5791</v>
      </c>
      <c r="K424" s="176">
        <v>44211</v>
      </c>
      <c r="L424" s="5">
        <v>44256</v>
      </c>
      <c r="M424" s="1199" t="s">
        <v>2491</v>
      </c>
      <c r="N424" s="3" t="s">
        <v>1975</v>
      </c>
      <c r="O424" s="939" t="str">
        <f t="shared" ref="O424:O446" si="37">O423</f>
        <v>RAMO 33</v>
      </c>
      <c r="P424" s="937">
        <v>44364</v>
      </c>
      <c r="Q424" s="937">
        <v>44364</v>
      </c>
      <c r="R424" s="1034" t="s">
        <v>4223</v>
      </c>
      <c r="S424" s="943"/>
      <c r="T424" s="1747"/>
      <c r="U424" s="936"/>
    </row>
    <row r="425" spans="1:21" ht="67.5" customHeight="1">
      <c r="A425" s="936" t="s">
        <v>2479</v>
      </c>
      <c r="B425" s="937">
        <v>44364</v>
      </c>
      <c r="C425" s="936">
        <v>9</v>
      </c>
      <c r="D425" s="936">
        <f>D424</f>
        <v>5</v>
      </c>
      <c r="E425" s="945" t="s">
        <v>3443</v>
      </c>
      <c r="F425" s="936">
        <f t="shared" si="35"/>
        <v>4</v>
      </c>
      <c r="G425" s="1035" t="s">
        <v>4672</v>
      </c>
      <c r="H425" s="939"/>
      <c r="I425" s="939" t="s">
        <v>550</v>
      </c>
      <c r="J425" s="1752" t="s">
        <v>5792</v>
      </c>
      <c r="K425" s="176">
        <v>44440</v>
      </c>
      <c r="L425" s="5">
        <v>44455</v>
      </c>
      <c r="M425" s="1199" t="s">
        <v>2491</v>
      </c>
      <c r="N425" s="3" t="s">
        <v>1975</v>
      </c>
      <c r="O425" s="939" t="str">
        <f>O424</f>
        <v>RAMO 33</v>
      </c>
      <c r="P425" s="937">
        <v>44364</v>
      </c>
      <c r="Q425" s="937">
        <v>44364</v>
      </c>
      <c r="R425" s="1034" t="s">
        <v>4223</v>
      </c>
      <c r="S425" s="943"/>
      <c r="T425" s="1747"/>
      <c r="U425" s="936"/>
    </row>
    <row r="426" spans="1:21" ht="39.950000000000003" customHeight="1">
      <c r="A426" s="936" t="s">
        <v>2479</v>
      </c>
      <c r="B426" s="937">
        <v>44364</v>
      </c>
      <c r="C426" s="936">
        <v>9</v>
      </c>
      <c r="D426" s="936">
        <f t="shared" si="36"/>
        <v>5</v>
      </c>
      <c r="E426" s="945" t="s">
        <v>4346</v>
      </c>
      <c r="F426" s="936">
        <f t="shared" si="35"/>
        <v>5</v>
      </c>
      <c r="G426" s="1035" t="s">
        <v>4674</v>
      </c>
      <c r="H426" s="939"/>
      <c r="I426" s="939" t="s">
        <v>550</v>
      </c>
      <c r="J426" s="1752" t="s">
        <v>5791</v>
      </c>
      <c r="K426" s="176">
        <v>44634</v>
      </c>
      <c r="L426" s="5">
        <v>44639</v>
      </c>
      <c r="M426" s="1199" t="s">
        <v>4657</v>
      </c>
      <c r="N426" s="3" t="s">
        <v>2515</v>
      </c>
      <c r="O426" s="939" t="str">
        <f t="shared" si="37"/>
        <v>RAMO 33</v>
      </c>
      <c r="P426" s="937">
        <v>44364</v>
      </c>
      <c r="Q426" s="937">
        <v>44364</v>
      </c>
      <c r="R426" s="1034" t="s">
        <v>4223</v>
      </c>
      <c r="S426" s="943"/>
      <c r="T426" s="1747"/>
      <c r="U426" s="936"/>
    </row>
    <row r="427" spans="1:21" ht="39.950000000000003" customHeight="1">
      <c r="A427" s="936" t="s">
        <v>2479</v>
      </c>
      <c r="B427" s="937">
        <v>44364</v>
      </c>
      <c r="C427" s="936">
        <v>9</v>
      </c>
      <c r="D427" s="936">
        <f>D426</f>
        <v>5</v>
      </c>
      <c r="E427" s="945" t="s">
        <v>3447</v>
      </c>
      <c r="F427" s="936">
        <f t="shared" si="35"/>
        <v>6</v>
      </c>
      <c r="G427" s="1035" t="s">
        <v>4673</v>
      </c>
      <c r="H427" s="939"/>
      <c r="I427" s="939" t="s">
        <v>550</v>
      </c>
      <c r="J427" s="1752" t="s">
        <v>5792</v>
      </c>
      <c r="K427" s="176">
        <v>44361</v>
      </c>
      <c r="L427" s="5">
        <v>44379</v>
      </c>
      <c r="M427" s="1199" t="s">
        <v>4657</v>
      </c>
      <c r="N427" s="3" t="s">
        <v>2515</v>
      </c>
      <c r="O427" s="939" t="str">
        <f>O426</f>
        <v>RAMO 33</v>
      </c>
      <c r="P427" s="937">
        <v>44364</v>
      </c>
      <c r="Q427" s="937">
        <v>44364</v>
      </c>
      <c r="R427" s="1034" t="s">
        <v>4223</v>
      </c>
      <c r="S427" s="943"/>
      <c r="T427" s="1747"/>
      <c r="U427" s="936"/>
    </row>
    <row r="428" spans="1:21" ht="51.75" customHeight="1">
      <c r="A428" s="936" t="s">
        <v>2479</v>
      </c>
      <c r="B428" s="937">
        <v>44364</v>
      </c>
      <c r="C428" s="936">
        <v>9</v>
      </c>
      <c r="D428" s="936">
        <f t="shared" si="36"/>
        <v>5</v>
      </c>
      <c r="E428" s="511" t="s">
        <v>4739</v>
      </c>
      <c r="F428" s="936">
        <f t="shared" si="35"/>
        <v>7</v>
      </c>
      <c r="G428" s="1035" t="s">
        <v>4675</v>
      </c>
      <c r="H428" s="939"/>
      <c r="I428" s="939" t="s">
        <v>550</v>
      </c>
      <c r="J428" s="1752"/>
      <c r="K428" s="176"/>
      <c r="L428" s="5"/>
      <c r="M428" s="1199" t="s">
        <v>4079</v>
      </c>
      <c r="N428" s="3" t="s">
        <v>2666</v>
      </c>
      <c r="O428" s="939" t="str">
        <f t="shared" si="37"/>
        <v>RAMO 33</v>
      </c>
      <c r="P428" s="937">
        <v>44364</v>
      </c>
      <c r="Q428" s="937">
        <v>44364</v>
      </c>
      <c r="R428" s="1034" t="s">
        <v>4223</v>
      </c>
      <c r="S428" s="943"/>
      <c r="T428" s="1747"/>
      <c r="U428" s="936"/>
    </row>
    <row r="429" spans="1:21" ht="51.75" customHeight="1">
      <c r="A429" s="936" t="s">
        <v>2479</v>
      </c>
      <c r="B429" s="937">
        <v>44364</v>
      </c>
      <c r="C429" s="936">
        <v>9</v>
      </c>
      <c r="D429" s="936">
        <f>D428</f>
        <v>5</v>
      </c>
      <c r="E429" s="945" t="s">
        <v>4739</v>
      </c>
      <c r="F429" s="936">
        <f t="shared" si="35"/>
        <v>8</v>
      </c>
      <c r="G429" s="1035" t="s">
        <v>4676</v>
      </c>
      <c r="H429" s="939"/>
      <c r="I429" s="939" t="s">
        <v>550</v>
      </c>
      <c r="J429" s="1752"/>
      <c r="K429" s="176"/>
      <c r="L429" s="5"/>
      <c r="M429" s="1199" t="s">
        <v>4079</v>
      </c>
      <c r="N429" s="3" t="s">
        <v>2666</v>
      </c>
      <c r="O429" s="939" t="str">
        <f>O428</f>
        <v>RAMO 33</v>
      </c>
      <c r="P429" s="937">
        <v>44364</v>
      </c>
      <c r="Q429" s="937">
        <v>44364</v>
      </c>
      <c r="R429" s="1034" t="s">
        <v>4223</v>
      </c>
      <c r="S429" s="943"/>
      <c r="T429" s="1747"/>
      <c r="U429" s="936"/>
    </row>
    <row r="430" spans="1:21" ht="39.950000000000003" customHeight="1">
      <c r="A430" s="936" t="s">
        <v>2479</v>
      </c>
      <c r="B430" s="937">
        <v>44364</v>
      </c>
      <c r="C430" s="936">
        <v>9</v>
      </c>
      <c r="D430" s="936">
        <f t="shared" si="36"/>
        <v>5</v>
      </c>
      <c r="E430" s="936"/>
      <c r="F430" s="936">
        <f t="shared" si="35"/>
        <v>9</v>
      </c>
      <c r="G430" s="1035" t="s">
        <v>4677</v>
      </c>
      <c r="H430" s="939"/>
      <c r="I430" s="939" t="s">
        <v>2313</v>
      </c>
      <c r="J430" s="1752"/>
      <c r="K430" s="176"/>
      <c r="L430" s="5"/>
      <c r="M430" s="1199" t="s">
        <v>4678</v>
      </c>
      <c r="N430" s="3" t="s">
        <v>1975</v>
      </c>
      <c r="O430" s="939" t="str">
        <f t="shared" si="37"/>
        <v>RAMO 33</v>
      </c>
      <c r="P430" s="937">
        <v>44364</v>
      </c>
      <c r="Q430" s="937">
        <v>44364</v>
      </c>
      <c r="R430" s="1034" t="s">
        <v>4223</v>
      </c>
      <c r="S430" s="943"/>
      <c r="T430" s="1564"/>
      <c r="U430" s="936"/>
    </row>
    <row r="431" spans="1:21" ht="39.950000000000003" customHeight="1">
      <c r="A431" s="936" t="s">
        <v>2479</v>
      </c>
      <c r="B431" s="937">
        <v>44364</v>
      </c>
      <c r="C431" s="936">
        <v>9</v>
      </c>
      <c r="D431" s="936">
        <f t="shared" si="36"/>
        <v>5</v>
      </c>
      <c r="E431" s="511" t="s">
        <v>3450</v>
      </c>
      <c r="F431" s="936">
        <f t="shared" si="35"/>
        <v>10</v>
      </c>
      <c r="G431" s="1035" t="s">
        <v>4679</v>
      </c>
      <c r="H431" s="939"/>
      <c r="I431" s="939" t="s">
        <v>550</v>
      </c>
      <c r="J431" s="1752" t="s">
        <v>5791</v>
      </c>
      <c r="K431" s="176">
        <v>44508</v>
      </c>
      <c r="L431" s="5">
        <v>44548</v>
      </c>
      <c r="M431" s="1199" t="s">
        <v>3149</v>
      </c>
      <c r="N431" s="3" t="s">
        <v>2518</v>
      </c>
      <c r="O431" s="939" t="str">
        <f t="shared" si="37"/>
        <v>RAMO 33</v>
      </c>
      <c r="P431" s="937">
        <v>44364</v>
      </c>
      <c r="Q431" s="937">
        <v>44364</v>
      </c>
      <c r="R431" s="1034" t="s">
        <v>4223</v>
      </c>
      <c r="S431" s="943"/>
      <c r="T431" s="1747" t="s">
        <v>5785</v>
      </c>
      <c r="U431" s="936"/>
    </row>
    <row r="432" spans="1:21" ht="39.950000000000003" customHeight="1">
      <c r="A432" s="936" t="s">
        <v>2479</v>
      </c>
      <c r="B432" s="937">
        <v>44364</v>
      </c>
      <c r="C432" s="936">
        <v>9</v>
      </c>
      <c r="D432" s="936">
        <f t="shared" si="36"/>
        <v>5</v>
      </c>
      <c r="E432" s="511" t="s">
        <v>3450</v>
      </c>
      <c r="F432" s="936">
        <f t="shared" si="35"/>
        <v>11</v>
      </c>
      <c r="G432" s="1035" t="s">
        <v>4680</v>
      </c>
      <c r="H432" s="939"/>
      <c r="I432" s="939" t="s">
        <v>550</v>
      </c>
      <c r="J432" s="1752" t="s">
        <v>5791</v>
      </c>
      <c r="K432" s="176">
        <v>44508</v>
      </c>
      <c r="L432" s="5">
        <v>44548</v>
      </c>
      <c r="M432" s="1199" t="s">
        <v>3149</v>
      </c>
      <c r="N432" s="3" t="s">
        <v>2518</v>
      </c>
      <c r="O432" s="939" t="str">
        <f t="shared" si="37"/>
        <v>RAMO 33</v>
      </c>
      <c r="P432" s="937">
        <v>44364</v>
      </c>
      <c r="Q432" s="937">
        <v>44364</v>
      </c>
      <c r="R432" s="1034" t="s">
        <v>4223</v>
      </c>
      <c r="S432" s="943"/>
      <c r="T432" s="1747" t="s">
        <v>5785</v>
      </c>
      <c r="U432" s="936"/>
    </row>
    <row r="433" spans="1:21" ht="39.950000000000003" customHeight="1">
      <c r="A433" s="936" t="s">
        <v>2479</v>
      </c>
      <c r="B433" s="937">
        <v>44364</v>
      </c>
      <c r="C433" s="936">
        <v>9</v>
      </c>
      <c r="D433" s="936">
        <f t="shared" si="36"/>
        <v>5</v>
      </c>
      <c r="E433" s="1642" t="s">
        <v>3064</v>
      </c>
      <c r="F433" s="936">
        <v>1</v>
      </c>
      <c r="G433" s="1035" t="s">
        <v>4681</v>
      </c>
      <c r="H433" s="23" t="s">
        <v>3138</v>
      </c>
      <c r="I433" s="939" t="s">
        <v>550</v>
      </c>
      <c r="J433" s="1752"/>
      <c r="K433" s="176"/>
      <c r="L433" s="5"/>
      <c r="M433" s="1199" t="s">
        <v>3067</v>
      </c>
      <c r="N433" s="3" t="s">
        <v>2527</v>
      </c>
      <c r="O433" s="939" t="s">
        <v>3111</v>
      </c>
      <c r="P433" s="937">
        <v>44364</v>
      </c>
      <c r="Q433" s="937">
        <v>44364</v>
      </c>
      <c r="R433" s="1034" t="s">
        <v>4223</v>
      </c>
      <c r="S433" s="943"/>
      <c r="T433" s="1747"/>
      <c r="U433" s="936"/>
    </row>
    <row r="434" spans="1:21" ht="39.950000000000003" customHeight="1">
      <c r="A434" s="936" t="s">
        <v>2479</v>
      </c>
      <c r="B434" s="937">
        <v>44364</v>
      </c>
      <c r="C434" s="936">
        <v>9</v>
      </c>
      <c r="D434" s="936">
        <f t="shared" si="36"/>
        <v>5</v>
      </c>
      <c r="E434" s="511" t="s">
        <v>2729</v>
      </c>
      <c r="F434" s="936">
        <f t="shared" si="35"/>
        <v>2</v>
      </c>
      <c r="G434" s="1035" t="s">
        <v>4682</v>
      </c>
      <c r="H434" s="939"/>
      <c r="I434" s="939" t="s">
        <v>550</v>
      </c>
      <c r="J434" s="1752" t="s">
        <v>5792</v>
      </c>
      <c r="K434" s="176">
        <v>43945</v>
      </c>
      <c r="L434" s="5">
        <v>44098</v>
      </c>
      <c r="M434" s="1199" t="s">
        <v>4683</v>
      </c>
      <c r="N434" s="3" t="s">
        <v>2617</v>
      </c>
      <c r="O434" s="939" t="str">
        <f t="shared" si="37"/>
        <v>CEA</v>
      </c>
      <c r="P434" s="937">
        <v>44364</v>
      </c>
      <c r="Q434" s="937">
        <v>44364</v>
      </c>
      <c r="R434" s="1034" t="s">
        <v>4223</v>
      </c>
      <c r="S434" s="943"/>
      <c r="T434" s="1747" t="s">
        <v>5786</v>
      </c>
      <c r="U434" s="936"/>
    </row>
    <row r="435" spans="1:21" ht="51.75" customHeight="1">
      <c r="A435" s="936" t="s">
        <v>2479</v>
      </c>
      <c r="B435" s="937">
        <v>44364</v>
      </c>
      <c r="C435" s="936">
        <v>9</v>
      </c>
      <c r="D435" s="936">
        <f t="shared" si="36"/>
        <v>5</v>
      </c>
      <c r="E435" s="945" t="s">
        <v>3608</v>
      </c>
      <c r="F435" s="936">
        <f t="shared" si="35"/>
        <v>3</v>
      </c>
      <c r="G435" s="1035" t="s">
        <v>4684</v>
      </c>
      <c r="H435" s="939"/>
      <c r="I435" s="939" t="s">
        <v>550</v>
      </c>
      <c r="J435" s="1752" t="s">
        <v>5791</v>
      </c>
      <c r="K435" s="176">
        <v>44322</v>
      </c>
      <c r="L435" s="5">
        <v>44347</v>
      </c>
      <c r="M435" s="1199" t="s">
        <v>4645</v>
      </c>
      <c r="N435" s="3" t="s">
        <v>1975</v>
      </c>
      <c r="O435" s="939" t="str">
        <f t="shared" si="37"/>
        <v>CEA</v>
      </c>
      <c r="P435" s="937">
        <v>44364</v>
      </c>
      <c r="Q435" s="937">
        <v>44364</v>
      </c>
      <c r="R435" s="1034" t="s">
        <v>4223</v>
      </c>
      <c r="S435" s="943"/>
      <c r="T435" s="1747"/>
      <c r="U435" s="936"/>
    </row>
    <row r="436" spans="1:21" ht="57.75" customHeight="1">
      <c r="A436" s="936" t="s">
        <v>2479</v>
      </c>
      <c r="B436" s="937">
        <v>44364</v>
      </c>
      <c r="C436" s="936">
        <v>9</v>
      </c>
      <c r="D436" s="936">
        <f t="shared" si="36"/>
        <v>5</v>
      </c>
      <c r="E436" s="944" t="s">
        <v>3616</v>
      </c>
      <c r="F436" s="936">
        <v>1</v>
      </c>
      <c r="G436" s="1035" t="s">
        <v>4685</v>
      </c>
      <c r="H436" s="939"/>
      <c r="I436" s="939" t="s">
        <v>550</v>
      </c>
      <c r="J436" s="1752" t="s">
        <v>5790</v>
      </c>
      <c r="K436" s="176">
        <v>44242</v>
      </c>
      <c r="L436" s="5">
        <v>44331</v>
      </c>
      <c r="M436" s="1199" t="s">
        <v>4686</v>
      </c>
      <c r="N436" s="3" t="s">
        <v>1975</v>
      </c>
      <c r="O436" s="939" t="s">
        <v>866</v>
      </c>
      <c r="P436" s="937">
        <v>44364</v>
      </c>
      <c r="Q436" s="937">
        <v>44364</v>
      </c>
      <c r="R436" s="1034" t="s">
        <v>4223</v>
      </c>
      <c r="S436" s="943"/>
      <c r="T436" s="1747"/>
      <c r="U436" s="936"/>
    </row>
    <row r="437" spans="1:21" ht="39.950000000000003" customHeight="1">
      <c r="A437" s="936" t="s">
        <v>2479</v>
      </c>
      <c r="B437" s="937">
        <v>44364</v>
      </c>
      <c r="C437" s="936">
        <v>9</v>
      </c>
      <c r="D437" s="936">
        <f t="shared" si="36"/>
        <v>5</v>
      </c>
      <c r="E437" s="944" t="s">
        <v>3615</v>
      </c>
      <c r="F437" s="936">
        <f t="shared" si="35"/>
        <v>2</v>
      </c>
      <c r="G437" s="1035" t="s">
        <v>4687</v>
      </c>
      <c r="H437" s="939"/>
      <c r="I437" s="939" t="s">
        <v>550</v>
      </c>
      <c r="J437" s="1752" t="s">
        <v>5790</v>
      </c>
      <c r="K437" s="601">
        <v>44280</v>
      </c>
      <c r="L437" s="5">
        <v>44347</v>
      </c>
      <c r="M437" s="1199" t="s">
        <v>4688</v>
      </c>
      <c r="N437" s="3" t="s">
        <v>2607</v>
      </c>
      <c r="O437" s="939" t="str">
        <f t="shared" si="37"/>
        <v>FOCOCI</v>
      </c>
      <c r="P437" s="937">
        <v>44364</v>
      </c>
      <c r="Q437" s="937">
        <v>44364</v>
      </c>
      <c r="R437" s="1034" t="s">
        <v>4223</v>
      </c>
      <c r="S437" s="943"/>
      <c r="T437" s="1747"/>
      <c r="U437" s="936"/>
    </row>
    <row r="438" spans="1:21" ht="66" customHeight="1">
      <c r="A438" s="936" t="s">
        <v>2479</v>
      </c>
      <c r="B438" s="937">
        <v>44364</v>
      </c>
      <c r="C438" s="936">
        <v>9</v>
      </c>
      <c r="D438" s="936">
        <f t="shared" si="36"/>
        <v>5</v>
      </c>
      <c r="E438" s="936"/>
      <c r="F438" s="936">
        <v>1</v>
      </c>
      <c r="G438" s="1035" t="s">
        <v>4689</v>
      </c>
      <c r="H438" s="939"/>
      <c r="I438" s="939" t="s">
        <v>2313</v>
      </c>
      <c r="J438" s="1752"/>
      <c r="K438" s="176"/>
      <c r="L438" s="5"/>
      <c r="M438" s="1199" t="s">
        <v>4690</v>
      </c>
      <c r="N438" s="3" t="s">
        <v>1975</v>
      </c>
      <c r="O438" s="939" t="s">
        <v>4668</v>
      </c>
      <c r="P438" s="937">
        <v>44364</v>
      </c>
      <c r="Q438" s="937">
        <v>44364</v>
      </c>
      <c r="R438" s="1034" t="s">
        <v>4223</v>
      </c>
      <c r="S438" s="943"/>
      <c r="T438" s="1564"/>
      <c r="U438" s="936"/>
    </row>
    <row r="439" spans="1:21" ht="64.5" customHeight="1">
      <c r="A439" s="936" t="s">
        <v>2479</v>
      </c>
      <c r="B439" s="937">
        <v>44364</v>
      </c>
      <c r="C439" s="936">
        <v>9</v>
      </c>
      <c r="D439" s="936">
        <f t="shared" si="36"/>
        <v>5</v>
      </c>
      <c r="E439" s="936"/>
      <c r="F439" s="936">
        <f t="shared" si="35"/>
        <v>2</v>
      </c>
      <c r="G439" s="1035" t="s">
        <v>4691</v>
      </c>
      <c r="H439" s="939"/>
      <c r="I439" s="939" t="s">
        <v>2313</v>
      </c>
      <c r="J439" s="1752"/>
      <c r="K439" s="176"/>
      <c r="L439" s="5"/>
      <c r="M439" s="1199" t="s">
        <v>4692</v>
      </c>
      <c r="N439" s="3" t="s">
        <v>1975</v>
      </c>
      <c r="O439" s="939" t="str">
        <f t="shared" si="37"/>
        <v>PEPREM (SADER)</v>
      </c>
      <c r="P439" s="937">
        <v>44364</v>
      </c>
      <c r="Q439" s="937">
        <v>44364</v>
      </c>
      <c r="R439" s="1034" t="s">
        <v>4223</v>
      </c>
      <c r="S439" s="943"/>
      <c r="T439" s="1564"/>
      <c r="U439" s="936"/>
    </row>
    <row r="440" spans="1:21" ht="53.25" customHeight="1">
      <c r="A440" s="936" t="s">
        <v>2479</v>
      </c>
      <c r="B440" s="937">
        <v>44364</v>
      </c>
      <c r="C440" s="936">
        <v>9</v>
      </c>
      <c r="D440" s="936">
        <f t="shared" si="36"/>
        <v>5</v>
      </c>
      <c r="E440" s="936"/>
      <c r="F440" s="936">
        <f t="shared" si="35"/>
        <v>3</v>
      </c>
      <c r="G440" s="1035" t="s">
        <v>4693</v>
      </c>
      <c r="H440" s="939"/>
      <c r="I440" s="939" t="s">
        <v>2313</v>
      </c>
      <c r="J440" s="1752"/>
      <c r="K440" s="176"/>
      <c r="L440" s="5"/>
      <c r="M440" s="1199" t="s">
        <v>3422</v>
      </c>
      <c r="N440" s="3" t="s">
        <v>2509</v>
      </c>
      <c r="O440" s="939" t="str">
        <f t="shared" si="37"/>
        <v>PEPREM (SADER)</v>
      </c>
      <c r="P440" s="937">
        <v>44364</v>
      </c>
      <c r="Q440" s="937">
        <v>44364</v>
      </c>
      <c r="R440" s="1034" t="s">
        <v>4223</v>
      </c>
      <c r="S440" s="943"/>
      <c r="T440" s="1564"/>
      <c r="U440" s="936"/>
    </row>
    <row r="441" spans="1:21" ht="67.5" customHeight="1">
      <c r="A441" s="936" t="s">
        <v>2479</v>
      </c>
      <c r="B441" s="937">
        <v>44364</v>
      </c>
      <c r="C441" s="936">
        <v>9</v>
      </c>
      <c r="D441" s="936">
        <f t="shared" si="36"/>
        <v>5</v>
      </c>
      <c r="E441" s="936"/>
      <c r="F441" s="936">
        <f t="shared" si="35"/>
        <v>4</v>
      </c>
      <c r="G441" s="1035" t="s">
        <v>4694</v>
      </c>
      <c r="H441" s="939"/>
      <c r="I441" s="939" t="s">
        <v>2313</v>
      </c>
      <c r="J441" s="1752"/>
      <c r="K441" s="176"/>
      <c r="L441" s="5"/>
      <c r="M441" s="1199" t="s">
        <v>4695</v>
      </c>
      <c r="N441" s="3" t="s">
        <v>2509</v>
      </c>
      <c r="O441" s="939" t="str">
        <f t="shared" si="37"/>
        <v>PEPREM (SADER)</v>
      </c>
      <c r="P441" s="937">
        <v>44364</v>
      </c>
      <c r="Q441" s="937">
        <v>44364</v>
      </c>
      <c r="R441" s="1034" t="s">
        <v>4223</v>
      </c>
      <c r="S441" s="943"/>
      <c r="T441" s="1564"/>
      <c r="U441" s="936"/>
    </row>
    <row r="442" spans="1:21" ht="42.75" customHeight="1">
      <c r="A442" s="936" t="s">
        <v>2479</v>
      </c>
      <c r="B442" s="937">
        <v>44364</v>
      </c>
      <c r="C442" s="936">
        <v>9</v>
      </c>
      <c r="D442" s="936">
        <f t="shared" si="36"/>
        <v>5</v>
      </c>
      <c r="E442" s="936"/>
      <c r="F442" s="936">
        <f t="shared" si="35"/>
        <v>5</v>
      </c>
      <c r="G442" s="1035" t="s">
        <v>4696</v>
      </c>
      <c r="H442" s="939"/>
      <c r="I442" s="939" t="s">
        <v>2313</v>
      </c>
      <c r="J442" s="1752"/>
      <c r="K442" s="176"/>
      <c r="L442" s="5"/>
      <c r="M442" s="1199" t="s">
        <v>4697</v>
      </c>
      <c r="N442" s="3" t="s">
        <v>2509</v>
      </c>
      <c r="O442" s="939" t="str">
        <f t="shared" si="37"/>
        <v>PEPREM (SADER)</v>
      </c>
      <c r="P442" s="937">
        <v>44364</v>
      </c>
      <c r="Q442" s="937">
        <v>44364</v>
      </c>
      <c r="R442" s="1034" t="s">
        <v>4223</v>
      </c>
      <c r="S442" s="943"/>
      <c r="T442" s="1564"/>
      <c r="U442" s="936"/>
    </row>
    <row r="443" spans="1:21" ht="68.25" customHeight="1">
      <c r="A443" s="936" t="s">
        <v>2479</v>
      </c>
      <c r="B443" s="937">
        <v>44364</v>
      </c>
      <c r="C443" s="936">
        <v>9</v>
      </c>
      <c r="D443" s="936">
        <f t="shared" si="36"/>
        <v>5</v>
      </c>
      <c r="E443" s="945" t="s">
        <v>4051</v>
      </c>
      <c r="F443" s="936">
        <f t="shared" si="35"/>
        <v>6</v>
      </c>
      <c r="G443" s="1035" t="s">
        <v>4698</v>
      </c>
      <c r="H443" s="939"/>
      <c r="I443" s="939" t="s">
        <v>550</v>
      </c>
      <c r="J443" s="1752" t="s">
        <v>5792</v>
      </c>
      <c r="K443" s="176">
        <v>44438</v>
      </c>
      <c r="L443" s="5">
        <v>44464</v>
      </c>
      <c r="M443" s="1199" t="s">
        <v>4076</v>
      </c>
      <c r="N443" s="3" t="s">
        <v>2541</v>
      </c>
      <c r="O443" s="939" t="str">
        <f t="shared" si="37"/>
        <v>PEPREM (SADER)</v>
      </c>
      <c r="P443" s="937">
        <v>44364</v>
      </c>
      <c r="Q443" s="937">
        <v>44364</v>
      </c>
      <c r="R443" s="1034" t="s">
        <v>4223</v>
      </c>
      <c r="S443" s="943"/>
      <c r="T443" s="1747"/>
      <c r="U443" s="936"/>
    </row>
    <row r="444" spans="1:21" ht="54.75" customHeight="1">
      <c r="A444" s="936" t="s">
        <v>2479</v>
      </c>
      <c r="B444" s="937">
        <v>44364</v>
      </c>
      <c r="C444" s="936">
        <v>9</v>
      </c>
      <c r="D444" s="936">
        <f t="shared" si="36"/>
        <v>5</v>
      </c>
      <c r="E444" s="945" t="s">
        <v>4054</v>
      </c>
      <c r="F444" s="936">
        <f t="shared" si="35"/>
        <v>7</v>
      </c>
      <c r="G444" s="1035" t="s">
        <v>4699</v>
      </c>
      <c r="H444" s="939"/>
      <c r="I444" s="939" t="s">
        <v>550</v>
      </c>
      <c r="J444" s="1752" t="s">
        <v>5792</v>
      </c>
      <c r="K444" s="176">
        <v>44438</v>
      </c>
      <c r="L444" s="5">
        <v>44492</v>
      </c>
      <c r="M444" s="1199" t="s">
        <v>4700</v>
      </c>
      <c r="N444" s="3" t="s">
        <v>2541</v>
      </c>
      <c r="O444" s="939" t="str">
        <f t="shared" si="37"/>
        <v>PEPREM (SADER)</v>
      </c>
      <c r="P444" s="937">
        <v>44364</v>
      </c>
      <c r="Q444" s="937">
        <v>44364</v>
      </c>
      <c r="R444" s="1034" t="s">
        <v>4223</v>
      </c>
      <c r="S444" s="943"/>
      <c r="T444" s="1747"/>
      <c r="U444" s="936"/>
    </row>
    <row r="445" spans="1:21" ht="51.75" customHeight="1">
      <c r="A445" s="936" t="s">
        <v>2479</v>
      </c>
      <c r="B445" s="937">
        <v>44364</v>
      </c>
      <c r="C445" s="936">
        <v>9</v>
      </c>
      <c r="D445" s="936">
        <f t="shared" si="36"/>
        <v>5</v>
      </c>
      <c r="E445" s="945" t="s">
        <v>4052</v>
      </c>
      <c r="F445" s="936">
        <f t="shared" si="35"/>
        <v>8</v>
      </c>
      <c r="G445" s="1035" t="s">
        <v>4701</v>
      </c>
      <c r="H445" s="939"/>
      <c r="I445" s="939" t="s">
        <v>550</v>
      </c>
      <c r="J445" s="1752" t="s">
        <v>5792</v>
      </c>
      <c r="K445" s="176">
        <v>44153</v>
      </c>
      <c r="L445" s="5">
        <v>44191</v>
      </c>
      <c r="M445" s="1199" t="s">
        <v>4702</v>
      </c>
      <c r="N445" s="3" t="s">
        <v>2515</v>
      </c>
      <c r="O445" s="939" t="str">
        <f t="shared" si="37"/>
        <v>PEPREM (SADER)</v>
      </c>
      <c r="P445" s="937">
        <v>44364</v>
      </c>
      <c r="Q445" s="937">
        <v>44364</v>
      </c>
      <c r="R445" s="1034" t="s">
        <v>4223</v>
      </c>
      <c r="S445" s="943"/>
      <c r="T445" s="1747"/>
      <c r="U445" s="936"/>
    </row>
    <row r="446" spans="1:21" ht="57.75" customHeight="1">
      <c r="A446" s="936" t="s">
        <v>2479</v>
      </c>
      <c r="B446" s="937">
        <v>44364</v>
      </c>
      <c r="C446" s="936">
        <v>9</v>
      </c>
      <c r="D446" s="936">
        <v>6</v>
      </c>
      <c r="E446" s="945" t="s">
        <v>4052</v>
      </c>
      <c r="F446" s="936">
        <f t="shared" si="35"/>
        <v>9</v>
      </c>
      <c r="G446" s="1035" t="s">
        <v>4703</v>
      </c>
      <c r="H446" s="939"/>
      <c r="I446" s="939" t="s">
        <v>550</v>
      </c>
      <c r="J446" s="1752" t="s">
        <v>5792</v>
      </c>
      <c r="K446" s="176">
        <v>44153</v>
      </c>
      <c r="L446" s="5">
        <v>44191</v>
      </c>
      <c r="M446" s="1199" t="s">
        <v>4078</v>
      </c>
      <c r="N446" s="3" t="s">
        <v>2515</v>
      </c>
      <c r="O446" s="939" t="str">
        <f t="shared" si="37"/>
        <v>PEPREM (SADER)</v>
      </c>
      <c r="P446" s="937">
        <v>44364</v>
      </c>
      <c r="Q446" s="937">
        <v>44364</v>
      </c>
      <c r="R446" s="1034" t="s">
        <v>4223</v>
      </c>
      <c r="S446" s="943"/>
      <c r="T446" s="1747"/>
      <c r="U446" s="936"/>
    </row>
    <row r="447" spans="1:21" ht="51" customHeight="1">
      <c r="A447" s="936" t="s">
        <v>2479</v>
      </c>
      <c r="B447" s="937">
        <v>44364</v>
      </c>
      <c r="C447" s="936">
        <v>9</v>
      </c>
      <c r="D447" s="936">
        <f t="shared" ref="D447:D461" si="38">D446</f>
        <v>6</v>
      </c>
      <c r="E447" s="945" t="s">
        <v>4052</v>
      </c>
      <c r="F447" s="936">
        <f t="shared" si="35"/>
        <v>10</v>
      </c>
      <c r="G447" s="1035" t="s">
        <v>4704</v>
      </c>
      <c r="H447" s="939"/>
      <c r="I447" s="939" t="s">
        <v>550</v>
      </c>
      <c r="J447" s="1752" t="s">
        <v>5792</v>
      </c>
      <c r="K447" s="176">
        <v>44153</v>
      </c>
      <c r="L447" s="5">
        <v>44191</v>
      </c>
      <c r="M447" s="1199" t="s">
        <v>4705</v>
      </c>
      <c r="N447" s="3" t="s">
        <v>2515</v>
      </c>
      <c r="O447" s="939" t="str">
        <f t="shared" ref="O447:O461" si="39">O446</f>
        <v>PEPREM (SADER)</v>
      </c>
      <c r="P447" s="937">
        <v>44364</v>
      </c>
      <c r="Q447" s="937">
        <v>44364</v>
      </c>
      <c r="R447" s="1034" t="s">
        <v>4223</v>
      </c>
      <c r="S447" s="943"/>
      <c r="T447" s="1747"/>
      <c r="U447" s="936"/>
    </row>
    <row r="448" spans="1:21" ht="53.25" customHeight="1">
      <c r="A448" s="936" t="s">
        <v>2479</v>
      </c>
      <c r="B448" s="937">
        <v>44364</v>
      </c>
      <c r="C448" s="936">
        <v>9</v>
      </c>
      <c r="D448" s="936">
        <f t="shared" si="38"/>
        <v>6</v>
      </c>
      <c r="E448" s="936"/>
      <c r="F448" s="936">
        <f t="shared" si="35"/>
        <v>11</v>
      </c>
      <c r="G448" s="1035" t="s">
        <v>4706</v>
      </c>
      <c r="H448" s="939"/>
      <c r="I448" s="939" t="s">
        <v>2313</v>
      </c>
      <c r="J448" s="1752"/>
      <c r="K448" s="176"/>
      <c r="L448" s="5"/>
      <c r="M448" s="1199" t="s">
        <v>4707</v>
      </c>
      <c r="N448" s="3" t="s">
        <v>2666</v>
      </c>
      <c r="O448" s="939" t="str">
        <f t="shared" si="39"/>
        <v>PEPREM (SADER)</v>
      </c>
      <c r="P448" s="937">
        <v>44364</v>
      </c>
      <c r="Q448" s="937">
        <v>44364</v>
      </c>
      <c r="R448" s="1034" t="s">
        <v>4223</v>
      </c>
      <c r="S448" s="943"/>
      <c r="T448" s="1564"/>
      <c r="U448" s="936"/>
    </row>
    <row r="449" spans="1:21" ht="53.25" customHeight="1">
      <c r="A449" s="936" t="s">
        <v>2479</v>
      </c>
      <c r="B449" s="937">
        <v>44364</v>
      </c>
      <c r="C449" s="936">
        <v>9</v>
      </c>
      <c r="D449" s="936">
        <f t="shared" si="38"/>
        <v>6</v>
      </c>
      <c r="E449" s="936"/>
      <c r="F449" s="936">
        <f t="shared" si="35"/>
        <v>12</v>
      </c>
      <c r="G449" s="1035" t="s">
        <v>4708</v>
      </c>
      <c r="H449" s="939"/>
      <c r="I449" s="939" t="s">
        <v>2313</v>
      </c>
      <c r="J449" s="1752"/>
      <c r="K449" s="176"/>
      <c r="L449" s="5"/>
      <c r="M449" s="1199" t="s">
        <v>4709</v>
      </c>
      <c r="N449" s="3" t="s">
        <v>2617</v>
      </c>
      <c r="O449" s="939" t="str">
        <f t="shared" si="39"/>
        <v>PEPREM (SADER)</v>
      </c>
      <c r="P449" s="937">
        <v>44364</v>
      </c>
      <c r="Q449" s="937">
        <v>44364</v>
      </c>
      <c r="R449" s="1034" t="s">
        <v>4223</v>
      </c>
      <c r="S449" s="943"/>
      <c r="T449" s="1564"/>
      <c r="U449" s="936"/>
    </row>
    <row r="450" spans="1:21" ht="57.75" customHeight="1">
      <c r="A450" s="936" t="s">
        <v>2479</v>
      </c>
      <c r="B450" s="937">
        <v>44364</v>
      </c>
      <c r="C450" s="936">
        <v>9</v>
      </c>
      <c r="D450" s="936">
        <f t="shared" si="38"/>
        <v>6</v>
      </c>
      <c r="E450" s="936"/>
      <c r="F450" s="936">
        <f t="shared" si="35"/>
        <v>13</v>
      </c>
      <c r="G450" s="1035" t="s">
        <v>4710</v>
      </c>
      <c r="H450" s="939"/>
      <c r="I450" s="939" t="s">
        <v>2313</v>
      </c>
      <c r="J450" s="1752"/>
      <c r="K450" s="176"/>
      <c r="L450" s="5"/>
      <c r="M450" s="1199" t="s">
        <v>2622</v>
      </c>
      <c r="N450" s="3" t="s">
        <v>2617</v>
      </c>
      <c r="O450" s="939" t="str">
        <f t="shared" si="39"/>
        <v>PEPREM (SADER)</v>
      </c>
      <c r="P450" s="937">
        <v>44364</v>
      </c>
      <c r="Q450" s="937">
        <v>44364</v>
      </c>
      <c r="R450" s="1034" t="s">
        <v>4223</v>
      </c>
      <c r="S450" s="943"/>
      <c r="T450" s="1564"/>
      <c r="U450" s="936"/>
    </row>
    <row r="451" spans="1:21" ht="51.75" customHeight="1">
      <c r="A451" s="936" t="s">
        <v>2479</v>
      </c>
      <c r="B451" s="937">
        <v>44364</v>
      </c>
      <c r="C451" s="936">
        <v>9</v>
      </c>
      <c r="D451" s="936">
        <f t="shared" si="38"/>
        <v>6</v>
      </c>
      <c r="E451" s="945" t="s">
        <v>4054</v>
      </c>
      <c r="F451" s="936">
        <f t="shared" si="35"/>
        <v>14</v>
      </c>
      <c r="G451" s="1035" t="s">
        <v>4711</v>
      </c>
      <c r="H451" s="939"/>
      <c r="I451" s="939" t="s">
        <v>550</v>
      </c>
      <c r="J451" s="1752" t="s">
        <v>5792</v>
      </c>
      <c r="K451" s="176">
        <v>44438</v>
      </c>
      <c r="L451" s="5">
        <v>44492</v>
      </c>
      <c r="M451" s="1199" t="s">
        <v>2491</v>
      </c>
      <c r="N451" s="3" t="s">
        <v>2580</v>
      </c>
      <c r="O451" s="939" t="str">
        <f t="shared" si="39"/>
        <v>PEPREM (SADER)</v>
      </c>
      <c r="P451" s="937">
        <v>44364</v>
      </c>
      <c r="Q451" s="937">
        <v>44364</v>
      </c>
      <c r="R451" s="1034" t="s">
        <v>4223</v>
      </c>
      <c r="S451" s="943"/>
      <c r="T451" s="1747"/>
      <c r="U451" s="936"/>
    </row>
    <row r="452" spans="1:21" ht="61.5" customHeight="1">
      <c r="A452" s="936" t="s">
        <v>2479</v>
      </c>
      <c r="B452" s="937">
        <v>44364</v>
      </c>
      <c r="C452" s="936">
        <v>9</v>
      </c>
      <c r="D452" s="936">
        <f t="shared" si="38"/>
        <v>6</v>
      </c>
      <c r="E452" s="945" t="s">
        <v>4054</v>
      </c>
      <c r="F452" s="936">
        <f t="shared" si="35"/>
        <v>15</v>
      </c>
      <c r="G452" s="1035" t="s">
        <v>4712</v>
      </c>
      <c r="H452" s="939"/>
      <c r="I452" s="939" t="s">
        <v>550</v>
      </c>
      <c r="J452" s="1752" t="s">
        <v>5792</v>
      </c>
      <c r="K452" s="176">
        <v>44438</v>
      </c>
      <c r="L452" s="5">
        <v>44492</v>
      </c>
      <c r="M452" s="1199" t="s">
        <v>4713</v>
      </c>
      <c r="N452" s="3" t="s">
        <v>2580</v>
      </c>
      <c r="O452" s="939" t="str">
        <f t="shared" si="39"/>
        <v>PEPREM (SADER)</v>
      </c>
      <c r="P452" s="937">
        <v>44364</v>
      </c>
      <c r="Q452" s="937">
        <v>44364</v>
      </c>
      <c r="R452" s="1034" t="s">
        <v>4223</v>
      </c>
      <c r="S452" s="943"/>
      <c r="T452" s="1747"/>
      <c r="U452" s="936"/>
    </row>
    <row r="453" spans="1:21" ht="54.75" customHeight="1">
      <c r="A453" s="936" t="s">
        <v>2479</v>
      </c>
      <c r="B453" s="937">
        <v>44364</v>
      </c>
      <c r="C453" s="936">
        <v>9</v>
      </c>
      <c r="D453" s="936">
        <f t="shared" si="38"/>
        <v>6</v>
      </c>
      <c r="E453" s="936"/>
      <c r="F453" s="936">
        <f t="shared" si="35"/>
        <v>16</v>
      </c>
      <c r="G453" s="1035" t="s">
        <v>4714</v>
      </c>
      <c r="H453" s="939"/>
      <c r="I453" s="939" t="s">
        <v>2313</v>
      </c>
      <c r="J453" s="1752"/>
      <c r="K453" s="176"/>
      <c r="L453" s="5"/>
      <c r="M453" s="1199" t="s">
        <v>2622</v>
      </c>
      <c r="N453" s="3" t="s">
        <v>2518</v>
      </c>
      <c r="O453" s="939" t="str">
        <f t="shared" si="39"/>
        <v>PEPREM (SADER)</v>
      </c>
      <c r="P453" s="937">
        <v>44364</v>
      </c>
      <c r="Q453" s="937">
        <v>44364</v>
      </c>
      <c r="R453" s="1034" t="s">
        <v>4223</v>
      </c>
      <c r="S453" s="943"/>
      <c r="T453" s="1564"/>
      <c r="U453" s="936"/>
    </row>
    <row r="454" spans="1:21" ht="51" customHeight="1">
      <c r="A454" s="936" t="s">
        <v>2479</v>
      </c>
      <c r="B454" s="937">
        <v>44364</v>
      </c>
      <c r="C454" s="936">
        <v>9</v>
      </c>
      <c r="D454" s="936">
        <f t="shared" si="38"/>
        <v>6</v>
      </c>
      <c r="E454" s="936"/>
      <c r="F454" s="936">
        <f t="shared" si="35"/>
        <v>17</v>
      </c>
      <c r="G454" s="1035" t="s">
        <v>4715</v>
      </c>
      <c r="H454" s="939"/>
      <c r="I454" s="939" t="s">
        <v>2313</v>
      </c>
      <c r="J454" s="1752"/>
      <c r="K454" s="176"/>
      <c r="L454" s="5"/>
      <c r="M454" s="1199" t="s">
        <v>4716</v>
      </c>
      <c r="N454" s="3" t="s">
        <v>2518</v>
      </c>
      <c r="O454" s="939" t="str">
        <f t="shared" si="39"/>
        <v>PEPREM (SADER)</v>
      </c>
      <c r="P454" s="937">
        <v>44364</v>
      </c>
      <c r="Q454" s="937">
        <v>44364</v>
      </c>
      <c r="R454" s="1034" t="s">
        <v>4223</v>
      </c>
      <c r="S454" s="943"/>
      <c r="T454" s="1564"/>
      <c r="U454" s="936"/>
    </row>
    <row r="455" spans="1:21" ht="51.75" customHeight="1">
      <c r="A455" s="936" t="s">
        <v>2479</v>
      </c>
      <c r="B455" s="937">
        <v>44364</v>
      </c>
      <c r="C455" s="936">
        <v>9</v>
      </c>
      <c r="D455" s="936">
        <f t="shared" si="38"/>
        <v>6</v>
      </c>
      <c r="E455" s="936"/>
      <c r="F455" s="936">
        <f t="shared" si="35"/>
        <v>18</v>
      </c>
      <c r="G455" s="1035" t="s">
        <v>4717</v>
      </c>
      <c r="H455" s="939"/>
      <c r="I455" s="939" t="s">
        <v>2313</v>
      </c>
      <c r="J455" s="1752"/>
      <c r="K455" s="176"/>
      <c r="L455" s="5"/>
      <c r="M455" s="1199" t="s">
        <v>2573</v>
      </c>
      <c r="N455" s="3" t="s">
        <v>2518</v>
      </c>
      <c r="O455" s="939" t="str">
        <f t="shared" si="39"/>
        <v>PEPREM (SADER)</v>
      </c>
      <c r="P455" s="937">
        <v>44364</v>
      </c>
      <c r="Q455" s="937">
        <v>44364</v>
      </c>
      <c r="R455" s="1034" t="s">
        <v>4223</v>
      </c>
      <c r="S455" s="943"/>
      <c r="T455" s="1564"/>
      <c r="U455" s="936"/>
    </row>
    <row r="456" spans="1:21" ht="53.25" customHeight="1">
      <c r="A456" s="936" t="s">
        <v>2479</v>
      </c>
      <c r="B456" s="937">
        <v>44364</v>
      </c>
      <c r="C456" s="936">
        <v>9</v>
      </c>
      <c r="D456" s="936">
        <f t="shared" si="38"/>
        <v>6</v>
      </c>
      <c r="E456" s="945" t="s">
        <v>4056</v>
      </c>
      <c r="F456" s="936">
        <f t="shared" ref="F456:F471" si="40">F455+1</f>
        <v>19</v>
      </c>
      <c r="G456" s="1035" t="s">
        <v>4718</v>
      </c>
      <c r="H456" s="939"/>
      <c r="I456" s="939" t="s">
        <v>550</v>
      </c>
      <c r="J456" s="1752" t="s">
        <v>5792</v>
      </c>
      <c r="K456" s="176">
        <v>44513</v>
      </c>
      <c r="L456" s="5">
        <v>44541</v>
      </c>
      <c r="M456" s="1199" t="s">
        <v>3149</v>
      </c>
      <c r="N456" s="3" t="s">
        <v>2518</v>
      </c>
      <c r="O456" s="939" t="str">
        <f t="shared" si="39"/>
        <v>PEPREM (SADER)</v>
      </c>
      <c r="P456" s="937">
        <v>44364</v>
      </c>
      <c r="Q456" s="937">
        <v>44364</v>
      </c>
      <c r="R456" s="1034" t="s">
        <v>4223</v>
      </c>
      <c r="S456" s="943"/>
      <c r="T456" s="1747"/>
      <c r="U456" s="936"/>
    </row>
    <row r="457" spans="1:21" ht="54.75" customHeight="1">
      <c r="A457" s="936" t="s">
        <v>2479</v>
      </c>
      <c r="B457" s="937">
        <v>44364</v>
      </c>
      <c r="C457" s="936">
        <v>9</v>
      </c>
      <c r="D457" s="936">
        <f t="shared" si="38"/>
        <v>6</v>
      </c>
      <c r="E457" s="945" t="s">
        <v>2736</v>
      </c>
      <c r="F457" s="936">
        <f t="shared" si="40"/>
        <v>20</v>
      </c>
      <c r="G457" s="1035" t="s">
        <v>4719</v>
      </c>
      <c r="H457" s="939"/>
      <c r="I457" s="939" t="s">
        <v>550</v>
      </c>
      <c r="J457" s="1752" t="s">
        <v>5792</v>
      </c>
      <c r="K457" s="176">
        <v>44166</v>
      </c>
      <c r="L457" s="5">
        <v>44196</v>
      </c>
      <c r="M457" s="1199" t="s">
        <v>3422</v>
      </c>
      <c r="N457" s="3" t="s">
        <v>1976</v>
      </c>
      <c r="O457" s="939" t="str">
        <f t="shared" si="39"/>
        <v>PEPREM (SADER)</v>
      </c>
      <c r="P457" s="937">
        <v>44364</v>
      </c>
      <c r="Q457" s="937">
        <v>44364</v>
      </c>
      <c r="R457" s="1034" t="s">
        <v>4223</v>
      </c>
      <c r="S457" s="943"/>
      <c r="T457" s="1747"/>
      <c r="U457" s="936"/>
    </row>
    <row r="458" spans="1:21" ht="39.950000000000003" customHeight="1">
      <c r="A458" s="936" t="s">
        <v>2479</v>
      </c>
      <c r="B458" s="937">
        <v>44364</v>
      </c>
      <c r="C458" s="936">
        <v>9</v>
      </c>
      <c r="D458" s="936">
        <f t="shared" si="38"/>
        <v>6</v>
      </c>
      <c r="E458" s="936"/>
      <c r="F458" s="936">
        <f t="shared" si="40"/>
        <v>21</v>
      </c>
      <c r="G458" s="1035" t="s">
        <v>4720</v>
      </c>
      <c r="H458" s="939"/>
      <c r="I458" s="939" t="s">
        <v>2313</v>
      </c>
      <c r="J458" s="1752"/>
      <c r="K458" s="176"/>
      <c r="L458" s="5"/>
      <c r="M458" s="1199" t="s">
        <v>4721</v>
      </c>
      <c r="N458" s="3" t="s">
        <v>1976</v>
      </c>
      <c r="O458" s="939" t="str">
        <f t="shared" si="39"/>
        <v>PEPREM (SADER)</v>
      </c>
      <c r="P458" s="937">
        <v>44364</v>
      </c>
      <c r="Q458" s="937">
        <v>44364</v>
      </c>
      <c r="R458" s="1034" t="s">
        <v>4223</v>
      </c>
      <c r="S458" s="943"/>
      <c r="T458" s="1564"/>
      <c r="U458" s="936"/>
    </row>
    <row r="459" spans="1:21" ht="60" customHeight="1">
      <c r="A459" s="936" t="s">
        <v>2479</v>
      </c>
      <c r="B459" s="937">
        <v>44364</v>
      </c>
      <c r="C459" s="936">
        <v>9</v>
      </c>
      <c r="D459" s="936">
        <f t="shared" si="38"/>
        <v>6</v>
      </c>
      <c r="E459" s="936"/>
      <c r="F459" s="936">
        <f t="shared" si="40"/>
        <v>22</v>
      </c>
      <c r="G459" s="1035" t="s">
        <v>4722</v>
      </c>
      <c r="H459" s="939"/>
      <c r="I459" s="939" t="s">
        <v>2313</v>
      </c>
      <c r="J459" s="1752"/>
      <c r="K459" s="176"/>
      <c r="L459" s="5"/>
      <c r="M459" s="1199" t="s">
        <v>4723</v>
      </c>
      <c r="N459" s="3" t="s">
        <v>1976</v>
      </c>
      <c r="O459" s="939" t="str">
        <f t="shared" si="39"/>
        <v>PEPREM (SADER)</v>
      </c>
      <c r="P459" s="937">
        <v>44364</v>
      </c>
      <c r="Q459" s="937">
        <v>44364</v>
      </c>
      <c r="R459" s="1034" t="s">
        <v>4223</v>
      </c>
      <c r="S459" s="943"/>
      <c r="T459" s="1564"/>
      <c r="U459" s="936"/>
    </row>
    <row r="460" spans="1:21" ht="53.25" customHeight="1">
      <c r="A460" s="936" t="s">
        <v>2479</v>
      </c>
      <c r="B460" s="937">
        <v>44364</v>
      </c>
      <c r="C460" s="936">
        <v>9</v>
      </c>
      <c r="D460" s="936">
        <f t="shared" si="38"/>
        <v>6</v>
      </c>
      <c r="E460" s="936"/>
      <c r="F460" s="936">
        <f t="shared" si="40"/>
        <v>23</v>
      </c>
      <c r="G460" s="1035" t="s">
        <v>4724</v>
      </c>
      <c r="H460" s="939"/>
      <c r="I460" s="939" t="s">
        <v>2313</v>
      </c>
      <c r="J460" s="1752"/>
      <c r="K460" s="176"/>
      <c r="L460" s="5"/>
      <c r="M460" s="1199" t="s">
        <v>2491</v>
      </c>
      <c r="N460" s="3" t="s">
        <v>1976</v>
      </c>
      <c r="O460" s="939" t="str">
        <f t="shared" si="39"/>
        <v>PEPREM (SADER)</v>
      </c>
      <c r="P460" s="937">
        <v>44364</v>
      </c>
      <c r="Q460" s="937">
        <v>44364</v>
      </c>
      <c r="R460" s="1034" t="s">
        <v>4223</v>
      </c>
      <c r="S460" s="943"/>
      <c r="T460" s="1564"/>
      <c r="U460" s="936"/>
    </row>
    <row r="461" spans="1:21" ht="54.75" customHeight="1">
      <c r="A461" s="936" t="s">
        <v>2479</v>
      </c>
      <c r="B461" s="937">
        <v>44364</v>
      </c>
      <c r="C461" s="936">
        <v>9</v>
      </c>
      <c r="D461" s="936">
        <f t="shared" si="38"/>
        <v>6</v>
      </c>
      <c r="E461" s="936"/>
      <c r="F461" s="936">
        <f t="shared" si="40"/>
        <v>24</v>
      </c>
      <c r="G461" s="1035" t="s">
        <v>4725</v>
      </c>
      <c r="H461" s="939"/>
      <c r="I461" s="939" t="s">
        <v>2313</v>
      </c>
      <c r="J461" s="1752"/>
      <c r="K461" s="176"/>
      <c r="L461" s="5"/>
      <c r="M461" s="1199" t="s">
        <v>4709</v>
      </c>
      <c r="N461" s="3" t="s">
        <v>1976</v>
      </c>
      <c r="O461" s="939" t="str">
        <f t="shared" si="39"/>
        <v>PEPREM (SADER)</v>
      </c>
      <c r="P461" s="937">
        <v>44364</v>
      </c>
      <c r="Q461" s="937">
        <v>44364</v>
      </c>
      <c r="R461" s="1034" t="s">
        <v>4223</v>
      </c>
      <c r="S461" s="943"/>
      <c r="T461" s="1564"/>
      <c r="U461" s="936"/>
    </row>
    <row r="462" spans="1:21" ht="56.25" customHeight="1">
      <c r="A462" s="936" t="s">
        <v>2479</v>
      </c>
      <c r="B462" s="937">
        <v>44364</v>
      </c>
      <c r="C462" s="936">
        <v>9</v>
      </c>
      <c r="D462" s="936">
        <f t="shared" ref="D462:D471" si="41">D461</f>
        <v>6</v>
      </c>
      <c r="E462" s="936"/>
      <c r="F462" s="936">
        <f t="shared" si="40"/>
        <v>25</v>
      </c>
      <c r="G462" s="1035" t="s">
        <v>4726</v>
      </c>
      <c r="H462" s="939"/>
      <c r="I462" s="939" t="s">
        <v>2313</v>
      </c>
      <c r="J462" s="1752"/>
      <c r="K462" s="176"/>
      <c r="L462" s="5"/>
      <c r="M462" s="1199" t="s">
        <v>4727</v>
      </c>
      <c r="N462" s="3" t="s">
        <v>1976</v>
      </c>
      <c r="O462" s="939" t="str">
        <f t="shared" ref="O462:O471" si="42">O461</f>
        <v>PEPREM (SADER)</v>
      </c>
      <c r="P462" s="937">
        <v>44364</v>
      </c>
      <c r="Q462" s="937">
        <v>44364</v>
      </c>
      <c r="R462" s="1034" t="s">
        <v>4223</v>
      </c>
      <c r="S462" s="943"/>
      <c r="T462" s="1564"/>
      <c r="U462" s="936"/>
    </row>
    <row r="463" spans="1:21" ht="51.75" customHeight="1">
      <c r="A463" s="936" t="s">
        <v>2479</v>
      </c>
      <c r="B463" s="937">
        <v>44364</v>
      </c>
      <c r="C463" s="936">
        <v>9</v>
      </c>
      <c r="D463" s="936">
        <f t="shared" si="41"/>
        <v>6</v>
      </c>
      <c r="E463" s="945" t="s">
        <v>4053</v>
      </c>
      <c r="F463" s="936">
        <f t="shared" si="40"/>
        <v>26</v>
      </c>
      <c r="G463" s="1035" t="s">
        <v>4728</v>
      </c>
      <c r="H463" s="939"/>
      <c r="I463" s="939" t="s">
        <v>550</v>
      </c>
      <c r="J463" s="1752" t="s">
        <v>5792</v>
      </c>
      <c r="K463" s="176">
        <v>44466</v>
      </c>
      <c r="L463" s="5">
        <v>44541</v>
      </c>
      <c r="M463" s="1199" t="s">
        <v>3428</v>
      </c>
      <c r="N463" s="3" t="s">
        <v>2527</v>
      </c>
      <c r="O463" s="939" t="str">
        <f t="shared" si="42"/>
        <v>PEPREM (SADER)</v>
      </c>
      <c r="P463" s="937">
        <v>44364</v>
      </c>
      <c r="Q463" s="937">
        <v>44364</v>
      </c>
      <c r="R463" s="1034" t="s">
        <v>4223</v>
      </c>
      <c r="S463" s="943"/>
      <c r="T463" s="1747"/>
      <c r="U463" s="936"/>
    </row>
    <row r="464" spans="1:21" ht="39.950000000000003" customHeight="1">
      <c r="A464" s="936" t="s">
        <v>2479</v>
      </c>
      <c r="B464" s="937">
        <v>44364</v>
      </c>
      <c r="C464" s="936">
        <v>9</v>
      </c>
      <c r="D464" s="936">
        <f t="shared" si="41"/>
        <v>6</v>
      </c>
      <c r="E464" s="945" t="s">
        <v>4053</v>
      </c>
      <c r="F464" s="936">
        <f t="shared" si="40"/>
        <v>27</v>
      </c>
      <c r="G464" s="1035" t="s">
        <v>4729</v>
      </c>
      <c r="H464" s="939"/>
      <c r="I464" s="939" t="s">
        <v>550</v>
      </c>
      <c r="J464" s="1752" t="s">
        <v>5792</v>
      </c>
      <c r="K464" s="176">
        <v>44466</v>
      </c>
      <c r="L464" s="5">
        <v>44541</v>
      </c>
      <c r="M464" s="1199" t="s">
        <v>2717</v>
      </c>
      <c r="N464" s="3" t="s">
        <v>2527</v>
      </c>
      <c r="O464" s="939" t="str">
        <f t="shared" si="42"/>
        <v>PEPREM (SADER)</v>
      </c>
      <c r="P464" s="937">
        <v>44364</v>
      </c>
      <c r="Q464" s="937">
        <v>44364</v>
      </c>
      <c r="R464" s="1034" t="s">
        <v>4223</v>
      </c>
      <c r="S464" s="943"/>
      <c r="T464" s="1747"/>
      <c r="U464" s="936"/>
    </row>
    <row r="465" spans="1:21" ht="56.25" customHeight="1">
      <c r="A465" s="936" t="s">
        <v>2479</v>
      </c>
      <c r="B465" s="937">
        <v>44364</v>
      </c>
      <c r="C465" s="936">
        <v>9</v>
      </c>
      <c r="D465" s="936">
        <f t="shared" si="41"/>
        <v>6</v>
      </c>
      <c r="E465" s="945" t="s">
        <v>4053</v>
      </c>
      <c r="F465" s="936">
        <f t="shared" si="40"/>
        <v>28</v>
      </c>
      <c r="G465" s="1035" t="s">
        <v>4730</v>
      </c>
      <c r="H465" s="939"/>
      <c r="I465" s="939" t="s">
        <v>550</v>
      </c>
      <c r="J465" s="1752" t="s">
        <v>5792</v>
      </c>
      <c r="K465" s="176">
        <v>44466</v>
      </c>
      <c r="L465" s="5">
        <v>44541</v>
      </c>
      <c r="M465" s="1199" t="s">
        <v>2706</v>
      </c>
      <c r="N465" s="3" t="s">
        <v>2527</v>
      </c>
      <c r="O465" s="939" t="str">
        <f t="shared" si="42"/>
        <v>PEPREM (SADER)</v>
      </c>
      <c r="P465" s="937">
        <v>44364</v>
      </c>
      <c r="Q465" s="937">
        <v>44364</v>
      </c>
      <c r="R465" s="1034" t="s">
        <v>4223</v>
      </c>
      <c r="S465" s="943"/>
      <c r="T465" s="1747"/>
      <c r="U465" s="936"/>
    </row>
    <row r="466" spans="1:21" ht="49.5" customHeight="1">
      <c r="A466" s="936" t="s">
        <v>2479</v>
      </c>
      <c r="B466" s="937">
        <v>44364</v>
      </c>
      <c r="C466" s="936">
        <v>9</v>
      </c>
      <c r="D466" s="936">
        <f t="shared" si="41"/>
        <v>6</v>
      </c>
      <c r="E466" s="945" t="s">
        <v>4053</v>
      </c>
      <c r="F466" s="936">
        <f t="shared" si="40"/>
        <v>29</v>
      </c>
      <c r="G466" s="1035" t="s">
        <v>4731</v>
      </c>
      <c r="H466" s="939"/>
      <c r="I466" s="939" t="s">
        <v>550</v>
      </c>
      <c r="J466" s="1752" t="s">
        <v>5792</v>
      </c>
      <c r="K466" s="176">
        <v>44466</v>
      </c>
      <c r="L466" s="5">
        <v>44541</v>
      </c>
      <c r="M466" s="1199" t="s">
        <v>4732</v>
      </c>
      <c r="N466" s="3" t="s">
        <v>2527</v>
      </c>
      <c r="O466" s="939" t="str">
        <f t="shared" si="42"/>
        <v>PEPREM (SADER)</v>
      </c>
      <c r="P466" s="937">
        <v>44364</v>
      </c>
      <c r="Q466" s="937">
        <v>44364</v>
      </c>
      <c r="R466" s="1034" t="s">
        <v>4223</v>
      </c>
      <c r="S466" s="943"/>
      <c r="T466" s="1747"/>
      <c r="U466" s="936"/>
    </row>
    <row r="467" spans="1:21" ht="57.75" customHeight="1">
      <c r="A467" s="936" t="s">
        <v>2479</v>
      </c>
      <c r="B467" s="937">
        <v>44364</v>
      </c>
      <c r="C467" s="936">
        <v>9</v>
      </c>
      <c r="D467" s="936">
        <f t="shared" si="41"/>
        <v>6</v>
      </c>
      <c r="E467" s="936"/>
      <c r="F467" s="936">
        <f t="shared" si="40"/>
        <v>30</v>
      </c>
      <c r="G467" s="1035" t="s">
        <v>4733</v>
      </c>
      <c r="H467" s="939"/>
      <c r="I467" s="939" t="s">
        <v>2313</v>
      </c>
      <c r="J467" s="1752"/>
      <c r="K467" s="176"/>
      <c r="L467" s="5"/>
      <c r="M467" s="1199" t="s">
        <v>4734</v>
      </c>
      <c r="N467" s="3" t="s">
        <v>2535</v>
      </c>
      <c r="O467" s="939" t="str">
        <f t="shared" si="42"/>
        <v>PEPREM (SADER)</v>
      </c>
      <c r="P467" s="937">
        <v>44364</v>
      </c>
      <c r="Q467" s="937">
        <v>44364</v>
      </c>
      <c r="R467" s="1034" t="s">
        <v>4223</v>
      </c>
      <c r="S467" s="943"/>
      <c r="T467" s="1564"/>
      <c r="U467" s="936"/>
    </row>
    <row r="468" spans="1:21" ht="51.75" customHeight="1">
      <c r="A468" s="936" t="s">
        <v>2479</v>
      </c>
      <c r="B468" s="937">
        <v>44364</v>
      </c>
      <c r="C468" s="936">
        <v>9</v>
      </c>
      <c r="D468" s="936">
        <f t="shared" si="41"/>
        <v>6</v>
      </c>
      <c r="E468" s="936"/>
      <c r="F468" s="936">
        <f t="shared" si="40"/>
        <v>31</v>
      </c>
      <c r="G468" s="1035" t="s">
        <v>4735</v>
      </c>
      <c r="H468" s="939"/>
      <c r="I468" s="939" t="s">
        <v>2313</v>
      </c>
      <c r="J468" s="1752"/>
      <c r="K468" s="176"/>
      <c r="L468" s="5"/>
      <c r="M468" s="1199" t="s">
        <v>2622</v>
      </c>
      <c r="N468" s="3" t="s">
        <v>2535</v>
      </c>
      <c r="O468" s="939" t="str">
        <f t="shared" si="42"/>
        <v>PEPREM (SADER)</v>
      </c>
      <c r="P468" s="937">
        <v>44364</v>
      </c>
      <c r="Q468" s="937">
        <v>44364</v>
      </c>
      <c r="R468" s="1034" t="s">
        <v>4223</v>
      </c>
      <c r="S468" s="943"/>
      <c r="T468" s="1564"/>
      <c r="U468" s="936"/>
    </row>
    <row r="469" spans="1:21" ht="56.25" customHeight="1">
      <c r="A469" s="936" t="s">
        <v>2479</v>
      </c>
      <c r="B469" s="937">
        <v>44364</v>
      </c>
      <c r="C469" s="936">
        <v>9</v>
      </c>
      <c r="D469" s="936">
        <f t="shared" si="41"/>
        <v>6</v>
      </c>
      <c r="E469" s="945" t="s">
        <v>4054</v>
      </c>
      <c r="F469" s="936">
        <f t="shared" si="40"/>
        <v>32</v>
      </c>
      <c r="G469" s="1035" t="s">
        <v>4736</v>
      </c>
      <c r="H469" s="939"/>
      <c r="I469" s="939" t="s">
        <v>550</v>
      </c>
      <c r="J469" s="1752" t="s">
        <v>5792</v>
      </c>
      <c r="K469" s="176">
        <v>44438</v>
      </c>
      <c r="L469" s="5">
        <v>44492</v>
      </c>
      <c r="M469" s="1199" t="s">
        <v>2491</v>
      </c>
      <c r="N469" s="3" t="s">
        <v>2580</v>
      </c>
      <c r="O469" s="939" t="str">
        <f t="shared" si="42"/>
        <v>PEPREM (SADER)</v>
      </c>
      <c r="P469" s="937">
        <v>44364</v>
      </c>
      <c r="Q469" s="937">
        <v>44364</v>
      </c>
      <c r="R469" s="1034" t="s">
        <v>4223</v>
      </c>
      <c r="S469" s="943"/>
      <c r="T469" s="1747"/>
      <c r="U469" s="936"/>
    </row>
    <row r="470" spans="1:21" ht="39.950000000000003" customHeight="1">
      <c r="A470" s="936" t="s">
        <v>2479</v>
      </c>
      <c r="B470" s="937">
        <v>44364</v>
      </c>
      <c r="C470" s="936">
        <v>9</v>
      </c>
      <c r="D470" s="936">
        <f t="shared" si="41"/>
        <v>6</v>
      </c>
      <c r="E470" s="936"/>
      <c r="F470" s="936">
        <f t="shared" si="40"/>
        <v>33</v>
      </c>
      <c r="G470" s="1035" t="s">
        <v>4737</v>
      </c>
      <c r="H470" s="939"/>
      <c r="I470" s="939" t="s">
        <v>2313</v>
      </c>
      <c r="J470" s="1752"/>
      <c r="K470" s="176"/>
      <c r="L470" s="5"/>
      <c r="M470" s="1199" t="s">
        <v>3423</v>
      </c>
      <c r="N470" s="3" t="s">
        <v>2515</v>
      </c>
      <c r="O470" s="939" t="str">
        <f t="shared" si="42"/>
        <v>PEPREM (SADER)</v>
      </c>
      <c r="P470" s="937">
        <v>44364</v>
      </c>
      <c r="Q470" s="937">
        <v>44364</v>
      </c>
      <c r="R470" s="1034" t="s">
        <v>4223</v>
      </c>
      <c r="S470" s="943"/>
      <c r="T470" s="1564"/>
      <c r="U470" s="936"/>
    </row>
    <row r="471" spans="1:21" ht="64.5" customHeight="1">
      <c r="A471" s="936" t="s">
        <v>2479</v>
      </c>
      <c r="B471" s="937">
        <v>44364</v>
      </c>
      <c r="C471" s="936">
        <v>9</v>
      </c>
      <c r="D471" s="936">
        <f t="shared" si="41"/>
        <v>6</v>
      </c>
      <c r="E471" s="945" t="s">
        <v>4055</v>
      </c>
      <c r="F471" s="936">
        <f t="shared" si="40"/>
        <v>34</v>
      </c>
      <c r="G471" s="1035" t="s">
        <v>4665</v>
      </c>
      <c r="H471" s="939"/>
      <c r="I471" s="939" t="s">
        <v>550</v>
      </c>
      <c r="J471" s="1752" t="s">
        <v>5792</v>
      </c>
      <c r="K471" s="176">
        <v>44487</v>
      </c>
      <c r="L471" s="5">
        <v>44541</v>
      </c>
      <c r="M471" s="1199" t="s">
        <v>4079</v>
      </c>
      <c r="N471" s="3" t="s">
        <v>2666</v>
      </c>
      <c r="O471" s="939" t="str">
        <f t="shared" si="42"/>
        <v>PEPREM (SADER)</v>
      </c>
      <c r="P471" s="937">
        <v>44364</v>
      </c>
      <c r="Q471" s="937">
        <v>44364</v>
      </c>
      <c r="R471" s="1034" t="s">
        <v>4223</v>
      </c>
      <c r="S471" s="943"/>
      <c r="T471" s="1747"/>
      <c r="U471" s="936"/>
    </row>
    <row r="472" spans="1:21" ht="58.5" customHeight="1">
      <c r="A472" s="936" t="s">
        <v>2479</v>
      </c>
      <c r="B472" s="937">
        <v>44181</v>
      </c>
      <c r="C472" s="936">
        <v>8</v>
      </c>
      <c r="D472" s="936">
        <v>3</v>
      </c>
      <c r="E472" s="945" t="s">
        <v>3317</v>
      </c>
      <c r="F472" s="936">
        <v>1</v>
      </c>
      <c r="G472" s="1035" t="s">
        <v>4273</v>
      </c>
      <c r="H472" s="939"/>
      <c r="I472" s="939" t="s">
        <v>550</v>
      </c>
      <c r="J472" s="939"/>
      <c r="K472" s="5">
        <v>44194</v>
      </c>
      <c r="L472" s="5">
        <v>44284</v>
      </c>
      <c r="M472" s="1563" t="s">
        <v>4229</v>
      </c>
      <c r="N472" s="3" t="s">
        <v>4229</v>
      </c>
      <c r="O472" s="939" t="s">
        <v>165</v>
      </c>
      <c r="P472" s="937">
        <v>44181</v>
      </c>
      <c r="Q472" s="937">
        <v>44181</v>
      </c>
      <c r="R472" s="1034" t="s">
        <v>4223</v>
      </c>
      <c r="S472" s="943"/>
      <c r="T472" s="1564"/>
      <c r="U472" s="936"/>
    </row>
    <row r="473" spans="1:21" ht="55.5" customHeight="1">
      <c r="A473" s="936" t="s">
        <v>2479</v>
      </c>
      <c r="B473" s="937">
        <v>44181</v>
      </c>
      <c r="C473" s="936">
        <v>8</v>
      </c>
      <c r="D473" s="936">
        <v>3</v>
      </c>
      <c r="E473" s="945" t="s">
        <v>3317</v>
      </c>
      <c r="F473" s="936">
        <f t="shared" ref="F473:F480" si="43">F472+1</f>
        <v>2</v>
      </c>
      <c r="G473" s="1035" t="s">
        <v>4274</v>
      </c>
      <c r="H473" s="939"/>
      <c r="I473" s="939" t="s">
        <v>550</v>
      </c>
      <c r="J473" s="939"/>
      <c r="K473" s="5">
        <v>44194</v>
      </c>
      <c r="L473" s="5">
        <v>44284</v>
      </c>
      <c r="M473" s="1563" t="s">
        <v>4229</v>
      </c>
      <c r="N473" s="3" t="s">
        <v>4229</v>
      </c>
      <c r="O473" s="939" t="s">
        <v>165</v>
      </c>
      <c r="P473" s="937">
        <v>44181</v>
      </c>
      <c r="Q473" s="937">
        <v>44181</v>
      </c>
      <c r="R473" s="1034" t="s">
        <v>4223</v>
      </c>
      <c r="S473" s="943"/>
      <c r="T473" s="1564"/>
      <c r="U473" s="936"/>
    </row>
    <row r="474" spans="1:21" ht="40.5" customHeight="1">
      <c r="A474" s="936" t="s">
        <v>2479</v>
      </c>
      <c r="B474" s="937">
        <v>44181</v>
      </c>
      <c r="C474" s="936">
        <v>8</v>
      </c>
      <c r="D474" s="936">
        <v>4</v>
      </c>
      <c r="E474" s="936"/>
      <c r="F474" s="936">
        <f t="shared" si="43"/>
        <v>3</v>
      </c>
      <c r="G474" s="1035" t="s">
        <v>4231</v>
      </c>
      <c r="H474" s="939"/>
      <c r="I474" s="939" t="s">
        <v>550</v>
      </c>
      <c r="J474" s="1752"/>
      <c r="K474" s="176"/>
      <c r="L474" s="5"/>
      <c r="M474" s="1199" t="s">
        <v>1975</v>
      </c>
      <c r="N474" s="3" t="s">
        <v>1975</v>
      </c>
      <c r="O474" s="939" t="s">
        <v>165</v>
      </c>
      <c r="P474" s="937">
        <v>44181</v>
      </c>
      <c r="Q474" s="937">
        <v>44181</v>
      </c>
      <c r="R474" s="1034" t="s">
        <v>4223</v>
      </c>
      <c r="S474" s="943"/>
      <c r="T474" s="1564"/>
      <c r="U474" s="936"/>
    </row>
    <row r="475" spans="1:21" ht="40.5" customHeight="1">
      <c r="A475" s="936" t="s">
        <v>2479</v>
      </c>
      <c r="B475" s="937">
        <v>44181</v>
      </c>
      <c r="C475" s="936">
        <v>8</v>
      </c>
      <c r="D475" s="936">
        <v>4</v>
      </c>
      <c r="E475" s="945" t="s">
        <v>3609</v>
      </c>
      <c r="F475" s="936">
        <f t="shared" si="43"/>
        <v>4</v>
      </c>
      <c r="G475" s="1035" t="s">
        <v>4275</v>
      </c>
      <c r="H475" s="939"/>
      <c r="I475" s="939" t="s">
        <v>550</v>
      </c>
      <c r="J475" s="939"/>
      <c r="K475" s="5">
        <v>44018</v>
      </c>
      <c r="L475" s="5">
        <v>44104</v>
      </c>
      <c r="M475" s="1199" t="s">
        <v>1975</v>
      </c>
      <c r="N475" s="3" t="s">
        <v>1975</v>
      </c>
      <c r="O475" s="939" t="s">
        <v>165</v>
      </c>
      <c r="P475" s="937">
        <v>44181</v>
      </c>
      <c r="Q475" s="937">
        <v>44181</v>
      </c>
      <c r="R475" s="1034" t="s">
        <v>4223</v>
      </c>
      <c r="S475" s="943"/>
      <c r="T475" s="1564"/>
      <c r="U475" s="936"/>
    </row>
    <row r="476" spans="1:21" ht="40.5" customHeight="1">
      <c r="A476" s="936" t="s">
        <v>2479</v>
      </c>
      <c r="B476" s="937">
        <v>44181</v>
      </c>
      <c r="C476" s="936">
        <v>8</v>
      </c>
      <c r="D476" s="936">
        <v>4</v>
      </c>
      <c r="E476" s="945" t="s">
        <v>3311</v>
      </c>
      <c r="F476" s="936">
        <v>1</v>
      </c>
      <c r="G476" s="1035" t="s">
        <v>4275</v>
      </c>
      <c r="H476" s="939"/>
      <c r="I476" s="939" t="s">
        <v>550</v>
      </c>
      <c r="J476" s="939"/>
      <c r="K476" s="5">
        <v>44195</v>
      </c>
      <c r="L476" s="5">
        <v>44227</v>
      </c>
      <c r="M476" s="1199" t="s">
        <v>1975</v>
      </c>
      <c r="N476" s="3" t="s">
        <v>1975</v>
      </c>
      <c r="O476" s="939" t="s">
        <v>2683</v>
      </c>
      <c r="P476" s="937">
        <v>44181</v>
      </c>
      <c r="Q476" s="937">
        <v>44181</v>
      </c>
      <c r="R476" s="1034" t="s">
        <v>4223</v>
      </c>
      <c r="S476" s="943"/>
      <c r="T476" s="1564"/>
      <c r="U476" s="936"/>
    </row>
    <row r="477" spans="1:21" ht="53.25" customHeight="1">
      <c r="A477" s="936" t="s">
        <v>2479</v>
      </c>
      <c r="B477" s="937">
        <v>44181</v>
      </c>
      <c r="C477" s="936">
        <v>8</v>
      </c>
      <c r="D477" s="936">
        <v>4</v>
      </c>
      <c r="E477" s="945" t="s">
        <v>3307</v>
      </c>
      <c r="F477" s="936">
        <v>1</v>
      </c>
      <c r="G477" s="1035" t="s">
        <v>4276</v>
      </c>
      <c r="H477" s="939"/>
      <c r="I477" s="939" t="s">
        <v>550</v>
      </c>
      <c r="J477" s="939"/>
      <c r="K477" s="5">
        <v>44169</v>
      </c>
      <c r="L477" s="5">
        <v>44180</v>
      </c>
      <c r="M477" s="1199" t="s">
        <v>4272</v>
      </c>
      <c r="N477" s="3" t="s">
        <v>1975</v>
      </c>
      <c r="O477" s="939" t="s">
        <v>76</v>
      </c>
      <c r="P477" s="937">
        <v>44181</v>
      </c>
      <c r="Q477" s="937">
        <v>44181</v>
      </c>
      <c r="R477" s="1034" t="s">
        <v>4223</v>
      </c>
      <c r="S477" s="943"/>
      <c r="T477" s="1564"/>
      <c r="U477" s="936"/>
    </row>
    <row r="478" spans="1:21" ht="57" customHeight="1">
      <c r="A478" s="936" t="s">
        <v>2479</v>
      </c>
      <c r="B478" s="937">
        <v>44181</v>
      </c>
      <c r="C478" s="936">
        <v>8</v>
      </c>
      <c r="D478" s="936">
        <v>4</v>
      </c>
      <c r="E478" s="945" t="s">
        <v>3307</v>
      </c>
      <c r="F478" s="936">
        <f t="shared" si="43"/>
        <v>2</v>
      </c>
      <c r="G478" s="1035" t="s">
        <v>4277</v>
      </c>
      <c r="H478" s="939"/>
      <c r="I478" s="939" t="s">
        <v>550</v>
      </c>
      <c r="J478" s="939"/>
      <c r="K478" s="5">
        <v>44169</v>
      </c>
      <c r="L478" s="5">
        <v>44180</v>
      </c>
      <c r="M478" s="1199" t="s">
        <v>4272</v>
      </c>
      <c r="N478" s="3" t="s">
        <v>1975</v>
      </c>
      <c r="O478" s="939" t="s">
        <v>76</v>
      </c>
      <c r="P478" s="937">
        <v>44181</v>
      </c>
      <c r="Q478" s="937">
        <v>44181</v>
      </c>
      <c r="R478" s="1034" t="s">
        <v>4223</v>
      </c>
      <c r="S478" s="943"/>
      <c r="T478" s="1564"/>
      <c r="U478" s="936"/>
    </row>
    <row r="479" spans="1:21" ht="40.5" customHeight="1">
      <c r="A479" s="936" t="s">
        <v>2479</v>
      </c>
      <c r="B479" s="937">
        <v>44181</v>
      </c>
      <c r="C479" s="936">
        <v>8</v>
      </c>
      <c r="D479" s="936">
        <v>4</v>
      </c>
      <c r="E479" s="945" t="s">
        <v>3300</v>
      </c>
      <c r="F479" s="936">
        <f t="shared" si="43"/>
        <v>3</v>
      </c>
      <c r="G479" s="1035" t="s">
        <v>4278</v>
      </c>
      <c r="H479" s="939"/>
      <c r="I479" s="939" t="s">
        <v>550</v>
      </c>
      <c r="J479" s="939"/>
      <c r="K479" s="5">
        <v>44165</v>
      </c>
      <c r="L479" s="5">
        <v>44180</v>
      </c>
      <c r="M479" s="1199" t="s">
        <v>4279</v>
      </c>
      <c r="N479" s="3" t="s">
        <v>2527</v>
      </c>
      <c r="O479" s="939" t="s">
        <v>76</v>
      </c>
      <c r="P479" s="937">
        <v>44181</v>
      </c>
      <c r="Q479" s="937">
        <v>44181</v>
      </c>
      <c r="R479" s="1034" t="s">
        <v>4223</v>
      </c>
      <c r="S479" s="943"/>
      <c r="T479" s="1564"/>
      <c r="U479" s="936"/>
    </row>
    <row r="480" spans="1:21" ht="40.5" customHeight="1">
      <c r="A480" s="936" t="s">
        <v>2479</v>
      </c>
      <c r="B480" s="937">
        <v>44181</v>
      </c>
      <c r="C480" s="936">
        <v>8</v>
      </c>
      <c r="D480" s="936">
        <v>4</v>
      </c>
      <c r="E480" s="945" t="s">
        <v>3313</v>
      </c>
      <c r="F480" s="936">
        <f t="shared" si="43"/>
        <v>4</v>
      </c>
      <c r="G480" s="1035" t="s">
        <v>4280</v>
      </c>
      <c r="H480" s="939"/>
      <c r="I480" s="939" t="s">
        <v>550</v>
      </c>
      <c r="J480" s="939"/>
      <c r="K480" s="5">
        <v>44172</v>
      </c>
      <c r="L480" s="5">
        <v>44184</v>
      </c>
      <c r="M480" s="1199" t="s">
        <v>3162</v>
      </c>
      <c r="N480" s="3" t="s">
        <v>1975</v>
      </c>
      <c r="O480" s="939" t="s">
        <v>76</v>
      </c>
      <c r="P480" s="937">
        <v>44181</v>
      </c>
      <c r="Q480" s="937">
        <v>44181</v>
      </c>
      <c r="R480" s="1034" t="s">
        <v>4223</v>
      </c>
      <c r="S480" s="943"/>
      <c r="T480" s="1564"/>
      <c r="U480" s="936"/>
    </row>
    <row r="481" spans="1:21" ht="40.5" customHeight="1">
      <c r="A481" s="936" t="s">
        <v>2479</v>
      </c>
      <c r="B481" s="937">
        <v>44161</v>
      </c>
      <c r="C481" s="936">
        <v>7</v>
      </c>
      <c r="D481" s="936">
        <v>3</v>
      </c>
      <c r="E481" s="936"/>
      <c r="F481" s="936">
        <v>1</v>
      </c>
      <c r="G481" s="1035" t="s">
        <v>4224</v>
      </c>
      <c r="H481" s="939"/>
      <c r="I481" s="939" t="s">
        <v>550</v>
      </c>
      <c r="J481" s="1752"/>
      <c r="K481" s="176"/>
      <c r="L481" s="5"/>
      <c r="M481" s="1199" t="s">
        <v>4225</v>
      </c>
      <c r="N481" s="3" t="s">
        <v>2483</v>
      </c>
      <c r="O481" s="939" t="s">
        <v>165</v>
      </c>
      <c r="P481" s="937">
        <v>44181</v>
      </c>
      <c r="Q481" s="937">
        <v>44181</v>
      </c>
      <c r="R481" s="1034" t="s">
        <v>4223</v>
      </c>
      <c r="S481" s="943"/>
      <c r="T481" s="1564"/>
      <c r="U481" s="936"/>
    </row>
    <row r="482" spans="1:21" ht="40.5" customHeight="1">
      <c r="A482" s="936" t="s">
        <v>2479</v>
      </c>
      <c r="B482" s="937">
        <v>44161</v>
      </c>
      <c r="C482" s="936">
        <v>7</v>
      </c>
      <c r="D482" s="936">
        <v>3</v>
      </c>
      <c r="E482" s="936"/>
      <c r="F482" s="936">
        <f>F481+1</f>
        <v>2</v>
      </c>
      <c r="G482" s="1035" t="s">
        <v>4226</v>
      </c>
      <c r="H482" s="939"/>
      <c r="I482" s="939" t="s">
        <v>550</v>
      </c>
      <c r="J482" s="1752"/>
      <c r="K482" s="176"/>
      <c r="L482" s="5"/>
      <c r="M482" s="1199" t="s">
        <v>4225</v>
      </c>
      <c r="N482" s="3" t="s">
        <v>2483</v>
      </c>
      <c r="O482" s="939" t="s">
        <v>165</v>
      </c>
      <c r="P482" s="937">
        <v>44181</v>
      </c>
      <c r="Q482" s="937">
        <v>44181</v>
      </c>
      <c r="R482" s="1034" t="s">
        <v>4223</v>
      </c>
      <c r="S482" s="943"/>
      <c r="T482" s="1564"/>
      <c r="U482" s="936"/>
    </row>
    <row r="483" spans="1:21" ht="40.5" customHeight="1">
      <c r="A483" s="936" t="s">
        <v>2479</v>
      </c>
      <c r="B483" s="937">
        <v>44161</v>
      </c>
      <c r="C483" s="936">
        <v>7</v>
      </c>
      <c r="D483" s="936">
        <v>3</v>
      </c>
      <c r="E483" s="945" t="s">
        <v>3317</v>
      </c>
      <c r="F483" s="936">
        <f t="shared" ref="F483:F522" si="44">F482+1</f>
        <v>3</v>
      </c>
      <c r="G483" s="1035" t="s">
        <v>4227</v>
      </c>
      <c r="H483" s="939"/>
      <c r="I483" s="939" t="s">
        <v>550</v>
      </c>
      <c r="J483" s="939"/>
      <c r="K483" s="5">
        <v>44194</v>
      </c>
      <c r="L483" s="5">
        <v>44284</v>
      </c>
      <c r="M483" s="1199" t="s">
        <v>4228</v>
      </c>
      <c r="N483" s="3" t="s">
        <v>4229</v>
      </c>
      <c r="O483" s="939" t="s">
        <v>165</v>
      </c>
      <c r="P483" s="937">
        <v>44181</v>
      </c>
      <c r="Q483" s="937">
        <v>44181</v>
      </c>
      <c r="R483" s="1034" t="s">
        <v>4223</v>
      </c>
      <c r="S483" s="943"/>
      <c r="T483" s="1564"/>
      <c r="U483" s="936"/>
    </row>
    <row r="484" spans="1:21" ht="40.5" customHeight="1">
      <c r="A484" s="936" t="s">
        <v>2479</v>
      </c>
      <c r="B484" s="937">
        <v>44161</v>
      </c>
      <c r="C484" s="936">
        <v>7</v>
      </c>
      <c r="D484" s="936">
        <v>3</v>
      </c>
      <c r="E484" s="945" t="s">
        <v>3317</v>
      </c>
      <c r="F484" s="936">
        <f t="shared" si="44"/>
        <v>4</v>
      </c>
      <c r="G484" s="1035" t="s">
        <v>4230</v>
      </c>
      <c r="H484" s="939"/>
      <c r="I484" s="939" t="s">
        <v>550</v>
      </c>
      <c r="J484" s="939"/>
      <c r="K484" s="5">
        <v>44194</v>
      </c>
      <c r="L484" s="5">
        <v>44284</v>
      </c>
      <c r="M484" s="1199" t="s">
        <v>4228</v>
      </c>
      <c r="N484" s="3" t="s">
        <v>4229</v>
      </c>
      <c r="O484" s="939" t="s">
        <v>165</v>
      </c>
      <c r="P484" s="937">
        <v>44181</v>
      </c>
      <c r="Q484" s="937">
        <v>44181</v>
      </c>
      <c r="R484" s="1034" t="s">
        <v>4223</v>
      </c>
      <c r="S484" s="943"/>
      <c r="T484" s="1564"/>
      <c r="U484" s="936"/>
    </row>
    <row r="485" spans="1:21" ht="40.5" customHeight="1">
      <c r="A485" s="936" t="s">
        <v>2479</v>
      </c>
      <c r="B485" s="937">
        <v>44161</v>
      </c>
      <c r="C485" s="936">
        <v>7</v>
      </c>
      <c r="D485" s="936">
        <v>3</v>
      </c>
      <c r="E485" s="936"/>
      <c r="F485" s="936">
        <f t="shared" si="44"/>
        <v>5</v>
      </c>
      <c r="G485" s="1035" t="s">
        <v>4231</v>
      </c>
      <c r="H485" s="939"/>
      <c r="I485" s="939" t="s">
        <v>2313</v>
      </c>
      <c r="J485" s="1752"/>
      <c r="K485" s="176"/>
      <c r="L485" s="5"/>
      <c r="M485" s="1199" t="s">
        <v>1975</v>
      </c>
      <c r="N485" s="3" t="s">
        <v>2483</v>
      </c>
      <c r="O485" s="939" t="s">
        <v>165</v>
      </c>
      <c r="P485" s="937">
        <v>44181</v>
      </c>
      <c r="Q485" s="937">
        <v>44181</v>
      </c>
      <c r="R485" s="1034" t="s">
        <v>4223</v>
      </c>
      <c r="S485" s="943"/>
      <c r="T485" s="1564"/>
      <c r="U485" s="936"/>
    </row>
    <row r="486" spans="1:21" ht="83.25" customHeight="1">
      <c r="A486" s="936" t="s">
        <v>2479</v>
      </c>
      <c r="B486" s="937">
        <v>44161</v>
      </c>
      <c r="C486" s="936">
        <v>7</v>
      </c>
      <c r="D486" s="936">
        <v>4</v>
      </c>
      <c r="E486" s="1640" t="s">
        <v>3064</v>
      </c>
      <c r="F486" s="936">
        <v>1</v>
      </c>
      <c r="G486" s="1035" t="s">
        <v>4232</v>
      </c>
      <c r="H486" s="939"/>
      <c r="I486" s="939" t="s">
        <v>550</v>
      </c>
      <c r="J486" s="1752"/>
      <c r="K486" s="176"/>
      <c r="L486" s="5"/>
      <c r="M486" s="1199" t="s">
        <v>2527</v>
      </c>
      <c r="N486" s="3" t="s">
        <v>2527</v>
      </c>
      <c r="O486" s="939" t="s">
        <v>3111</v>
      </c>
      <c r="P486" s="937">
        <v>44181</v>
      </c>
      <c r="Q486" s="937">
        <v>44181</v>
      </c>
      <c r="R486" s="1034" t="s">
        <v>4223</v>
      </c>
      <c r="S486" s="943"/>
      <c r="T486" s="1564"/>
      <c r="U486" s="936"/>
    </row>
    <row r="487" spans="1:21" ht="70.5" customHeight="1">
      <c r="A487" s="936" t="s">
        <v>2479</v>
      </c>
      <c r="B487" s="937">
        <v>44161</v>
      </c>
      <c r="C487" s="936">
        <v>7</v>
      </c>
      <c r="D487" s="936">
        <v>4</v>
      </c>
      <c r="E487" s="939"/>
      <c r="F487" s="936">
        <v>1</v>
      </c>
      <c r="G487" s="1035" t="s">
        <v>4233</v>
      </c>
      <c r="H487" s="939"/>
      <c r="I487" s="939" t="s">
        <v>550</v>
      </c>
      <c r="J487" s="1752"/>
      <c r="K487" s="176"/>
      <c r="L487" s="5"/>
      <c r="M487" s="1199" t="s">
        <v>4234</v>
      </c>
      <c r="N487" s="3" t="s">
        <v>2483</v>
      </c>
      <c r="O487" s="939" t="s">
        <v>246</v>
      </c>
      <c r="P487" s="937">
        <v>44181</v>
      </c>
      <c r="Q487" s="937">
        <v>44181</v>
      </c>
      <c r="R487" s="1034" t="s">
        <v>4223</v>
      </c>
      <c r="S487" s="943"/>
      <c r="T487" s="1566" t="s">
        <v>4281</v>
      </c>
      <c r="U487" s="936"/>
    </row>
    <row r="488" spans="1:21" ht="40.5" customHeight="1">
      <c r="A488" s="936" t="s">
        <v>2479</v>
      </c>
      <c r="B488" s="937">
        <v>44161</v>
      </c>
      <c r="C488" s="936">
        <v>7</v>
      </c>
      <c r="D488" s="936">
        <v>4</v>
      </c>
      <c r="E488" s="1640" t="s">
        <v>3064</v>
      </c>
      <c r="F488" s="936">
        <v>1</v>
      </c>
      <c r="G488" s="1035" t="s">
        <v>4235</v>
      </c>
      <c r="H488" s="939"/>
      <c r="I488" s="939" t="s">
        <v>550</v>
      </c>
      <c r="J488" s="1752"/>
      <c r="K488" s="176"/>
      <c r="L488" s="5"/>
      <c r="M488" s="1199" t="s">
        <v>1975</v>
      </c>
      <c r="N488" s="3" t="s">
        <v>2483</v>
      </c>
      <c r="O488" s="939" t="s">
        <v>4236</v>
      </c>
      <c r="P488" s="937">
        <v>44181</v>
      </c>
      <c r="Q488" s="937">
        <v>44181</v>
      </c>
      <c r="R488" s="1034" t="s">
        <v>4223</v>
      </c>
      <c r="S488" s="943"/>
      <c r="T488" s="1564"/>
      <c r="U488" s="936"/>
    </row>
    <row r="489" spans="1:21" ht="40.5" customHeight="1">
      <c r="A489" s="936" t="s">
        <v>2479</v>
      </c>
      <c r="B489" s="937">
        <v>44161</v>
      </c>
      <c r="C489" s="936">
        <v>7</v>
      </c>
      <c r="D489" s="936">
        <v>4</v>
      </c>
      <c r="E489" s="1640" t="s">
        <v>3064</v>
      </c>
      <c r="F489" s="936">
        <f t="shared" si="44"/>
        <v>2</v>
      </c>
      <c r="G489" s="1035" t="s">
        <v>4237</v>
      </c>
      <c r="H489" s="939"/>
      <c r="I489" s="939" t="s">
        <v>550</v>
      </c>
      <c r="J489" s="1752"/>
      <c r="K489" s="176"/>
      <c r="L489" s="5"/>
      <c r="M489" s="1199" t="s">
        <v>1975</v>
      </c>
      <c r="N489" s="3" t="s">
        <v>2483</v>
      </c>
      <c r="O489" s="939" t="s">
        <v>4236</v>
      </c>
      <c r="P489" s="937">
        <v>44181</v>
      </c>
      <c r="Q489" s="937">
        <v>44181</v>
      </c>
      <c r="R489" s="1034" t="s">
        <v>4223</v>
      </c>
      <c r="S489" s="943"/>
      <c r="T489" s="1564"/>
      <c r="U489" s="936"/>
    </row>
    <row r="490" spans="1:21" ht="80.25" customHeight="1">
      <c r="A490" s="936" t="s">
        <v>2479</v>
      </c>
      <c r="B490" s="937">
        <v>44161</v>
      </c>
      <c r="C490" s="936">
        <v>7</v>
      </c>
      <c r="D490" s="936">
        <v>4</v>
      </c>
      <c r="E490" s="1640" t="s">
        <v>3064</v>
      </c>
      <c r="F490" s="936">
        <v>1</v>
      </c>
      <c r="G490" s="1035" t="s">
        <v>4232</v>
      </c>
      <c r="H490" s="939"/>
      <c r="I490" s="939" t="s">
        <v>550</v>
      </c>
      <c r="J490" s="1752"/>
      <c r="K490" s="176"/>
      <c r="L490" s="5"/>
      <c r="M490" s="1199" t="s">
        <v>2527</v>
      </c>
      <c r="N490" s="3" t="s">
        <v>2527</v>
      </c>
      <c r="O490" s="939" t="s">
        <v>3111</v>
      </c>
      <c r="P490" s="937">
        <v>44181</v>
      </c>
      <c r="Q490" s="937">
        <v>44181</v>
      </c>
      <c r="R490" s="1034" t="s">
        <v>4223</v>
      </c>
      <c r="S490" s="943"/>
      <c r="T490" s="1564"/>
      <c r="U490" s="936"/>
    </row>
    <row r="491" spans="1:21" ht="40.5" customHeight="1">
      <c r="A491" s="936" t="s">
        <v>2479</v>
      </c>
      <c r="B491" s="937">
        <v>44161</v>
      </c>
      <c r="C491" s="936">
        <v>7</v>
      </c>
      <c r="D491" s="936">
        <v>4</v>
      </c>
      <c r="E491" s="945" t="s">
        <v>3304</v>
      </c>
      <c r="F491" s="936">
        <v>1</v>
      </c>
      <c r="G491" s="1035" t="s">
        <v>4238</v>
      </c>
      <c r="H491" s="939"/>
      <c r="I491" s="939" t="s">
        <v>550</v>
      </c>
      <c r="J491" s="939"/>
      <c r="K491" s="5">
        <v>44166</v>
      </c>
      <c r="L491" s="5">
        <v>44189</v>
      </c>
      <c r="M491" s="1199" t="s">
        <v>1975</v>
      </c>
      <c r="N491" s="3" t="s">
        <v>2483</v>
      </c>
      <c r="O491" s="939" t="s">
        <v>3303</v>
      </c>
      <c r="P491" s="937">
        <v>44181</v>
      </c>
      <c r="Q491" s="937">
        <v>44181</v>
      </c>
      <c r="R491" s="1034" t="s">
        <v>4223</v>
      </c>
      <c r="S491" s="943"/>
      <c r="T491" s="1564"/>
      <c r="U491" s="936"/>
    </row>
    <row r="492" spans="1:21" ht="52.5" customHeight="1">
      <c r="A492" s="936" t="s">
        <v>2479</v>
      </c>
      <c r="B492" s="937">
        <v>44161</v>
      </c>
      <c r="C492" s="936">
        <v>7</v>
      </c>
      <c r="D492" s="936">
        <v>4</v>
      </c>
      <c r="E492" s="945" t="s">
        <v>2736</v>
      </c>
      <c r="F492" s="936">
        <v>1</v>
      </c>
      <c r="G492" s="1035" t="s">
        <v>4239</v>
      </c>
      <c r="H492" s="939"/>
      <c r="I492" s="939" t="s">
        <v>550</v>
      </c>
      <c r="J492" s="939"/>
      <c r="K492" s="5">
        <v>44166</v>
      </c>
      <c r="L492" s="5">
        <v>44196</v>
      </c>
      <c r="M492" s="1199" t="s">
        <v>4240</v>
      </c>
      <c r="N492" s="3" t="s">
        <v>1976</v>
      </c>
      <c r="O492" s="1035" t="s">
        <v>4241</v>
      </c>
      <c r="P492" s="937">
        <v>44181</v>
      </c>
      <c r="Q492" s="937">
        <v>44181</v>
      </c>
      <c r="R492" s="1034" t="s">
        <v>4223</v>
      </c>
      <c r="S492" s="943"/>
      <c r="T492" s="1564"/>
      <c r="U492" s="936"/>
    </row>
    <row r="493" spans="1:21" ht="58.5" customHeight="1">
      <c r="A493" s="936" t="s">
        <v>2479</v>
      </c>
      <c r="B493" s="937">
        <v>44161</v>
      </c>
      <c r="C493" s="936">
        <v>7</v>
      </c>
      <c r="D493" s="936">
        <v>4</v>
      </c>
      <c r="E493" s="945" t="s">
        <v>3327</v>
      </c>
      <c r="F493" s="936">
        <f t="shared" si="44"/>
        <v>2</v>
      </c>
      <c r="G493" s="1035" t="s">
        <v>4242</v>
      </c>
      <c r="H493" s="939"/>
      <c r="I493" s="939" t="s">
        <v>550</v>
      </c>
      <c r="J493" s="939"/>
      <c r="K493" s="5">
        <v>44150</v>
      </c>
      <c r="L493" s="5">
        <v>44181</v>
      </c>
      <c r="M493" s="1199" t="s">
        <v>4250</v>
      </c>
      <c r="N493" s="3" t="s">
        <v>2506</v>
      </c>
      <c r="O493" s="1035" t="s">
        <v>4241</v>
      </c>
      <c r="P493" s="937">
        <v>44181</v>
      </c>
      <c r="Q493" s="937">
        <v>44181</v>
      </c>
      <c r="R493" s="1034" t="s">
        <v>4223</v>
      </c>
      <c r="S493" s="943"/>
      <c r="T493" s="1564"/>
      <c r="U493" s="936"/>
    </row>
    <row r="494" spans="1:21" ht="53.25" customHeight="1">
      <c r="A494" s="936" t="s">
        <v>2479</v>
      </c>
      <c r="B494" s="937">
        <v>44161</v>
      </c>
      <c r="C494" s="936">
        <v>7</v>
      </c>
      <c r="D494" s="936">
        <v>4</v>
      </c>
      <c r="E494" s="945" t="s">
        <v>3327</v>
      </c>
      <c r="F494" s="936">
        <f t="shared" si="44"/>
        <v>3</v>
      </c>
      <c r="G494" s="1035" t="s">
        <v>4243</v>
      </c>
      <c r="H494" s="939"/>
      <c r="I494" s="939" t="s">
        <v>550</v>
      </c>
      <c r="J494" s="939"/>
      <c r="K494" s="5">
        <v>44150</v>
      </c>
      <c r="L494" s="5">
        <v>44181</v>
      </c>
      <c r="M494" s="1199" t="s">
        <v>4251</v>
      </c>
      <c r="N494" s="3" t="s">
        <v>2506</v>
      </c>
      <c r="O494" s="1035" t="s">
        <v>4241</v>
      </c>
      <c r="P494" s="937">
        <v>44181</v>
      </c>
      <c r="Q494" s="937">
        <v>44181</v>
      </c>
      <c r="R494" s="1034" t="s">
        <v>4223</v>
      </c>
      <c r="S494" s="943"/>
      <c r="T494" s="1564"/>
      <c r="U494" s="936"/>
    </row>
    <row r="495" spans="1:21" ht="60" customHeight="1">
      <c r="A495" s="936" t="s">
        <v>2479</v>
      </c>
      <c r="B495" s="937">
        <v>44161</v>
      </c>
      <c r="C495" s="936">
        <v>7</v>
      </c>
      <c r="D495" s="936">
        <v>4</v>
      </c>
      <c r="E495" s="945" t="s">
        <v>3327</v>
      </c>
      <c r="F495" s="936">
        <f t="shared" si="44"/>
        <v>4</v>
      </c>
      <c r="G495" s="1035" t="s">
        <v>4244</v>
      </c>
      <c r="H495" s="939"/>
      <c r="I495" s="939" t="s">
        <v>550</v>
      </c>
      <c r="J495" s="939"/>
      <c r="K495" s="5">
        <v>44150</v>
      </c>
      <c r="L495" s="5">
        <v>44181</v>
      </c>
      <c r="M495" s="1199" t="s">
        <v>4251</v>
      </c>
      <c r="N495" s="3" t="s">
        <v>2506</v>
      </c>
      <c r="O495" s="1035" t="s">
        <v>4241</v>
      </c>
      <c r="P495" s="937">
        <v>44181</v>
      </c>
      <c r="Q495" s="937">
        <v>44181</v>
      </c>
      <c r="R495" s="1034" t="s">
        <v>4223</v>
      </c>
      <c r="S495" s="943"/>
      <c r="T495" s="1564"/>
      <c r="U495" s="936"/>
    </row>
    <row r="496" spans="1:21" ht="56.25" customHeight="1">
      <c r="A496" s="936" t="s">
        <v>2479</v>
      </c>
      <c r="B496" s="937">
        <v>44161</v>
      </c>
      <c r="C496" s="936">
        <v>7</v>
      </c>
      <c r="D496" s="936">
        <v>4</v>
      </c>
      <c r="E496" s="945" t="s">
        <v>3327</v>
      </c>
      <c r="F496" s="936">
        <f t="shared" si="44"/>
        <v>5</v>
      </c>
      <c r="G496" s="1035" t="s">
        <v>4245</v>
      </c>
      <c r="H496" s="939"/>
      <c r="I496" s="939" t="s">
        <v>550</v>
      </c>
      <c r="J496" s="939"/>
      <c r="K496" s="5">
        <v>44150</v>
      </c>
      <c r="L496" s="5">
        <v>44181</v>
      </c>
      <c r="M496" s="1199" t="s">
        <v>4251</v>
      </c>
      <c r="N496" s="3" t="s">
        <v>2506</v>
      </c>
      <c r="O496" s="1035" t="s">
        <v>4241</v>
      </c>
      <c r="P496" s="937">
        <v>44181</v>
      </c>
      <c r="Q496" s="937">
        <v>44181</v>
      </c>
      <c r="R496" s="1034" t="s">
        <v>4223</v>
      </c>
      <c r="S496" s="943"/>
      <c r="T496" s="1564"/>
      <c r="U496" s="936"/>
    </row>
    <row r="497" spans="1:21" ht="40.5" customHeight="1">
      <c r="A497" s="936" t="s">
        <v>2479</v>
      </c>
      <c r="B497" s="937">
        <v>44161</v>
      </c>
      <c r="C497" s="936">
        <v>7</v>
      </c>
      <c r="D497" s="936">
        <v>4</v>
      </c>
      <c r="E497" s="945" t="s">
        <v>3327</v>
      </c>
      <c r="F497" s="936">
        <f t="shared" si="44"/>
        <v>6</v>
      </c>
      <c r="G497" s="1035" t="s">
        <v>4246</v>
      </c>
      <c r="H497" s="939"/>
      <c r="I497" s="939" t="s">
        <v>550</v>
      </c>
      <c r="J497" s="939"/>
      <c r="K497" s="5">
        <v>44150</v>
      </c>
      <c r="L497" s="5">
        <v>44181</v>
      </c>
      <c r="M497" s="1199" t="s">
        <v>4252</v>
      </c>
      <c r="N497" s="3" t="s">
        <v>2506</v>
      </c>
      <c r="O497" s="1035" t="s">
        <v>4241</v>
      </c>
      <c r="P497" s="937">
        <v>44181</v>
      </c>
      <c r="Q497" s="937">
        <v>44181</v>
      </c>
      <c r="R497" s="1034" t="s">
        <v>4223</v>
      </c>
      <c r="S497" s="943"/>
      <c r="T497" s="1564"/>
      <c r="U497" s="936"/>
    </row>
    <row r="498" spans="1:21" ht="54.75" customHeight="1">
      <c r="A498" s="936" t="s">
        <v>2479</v>
      </c>
      <c r="B498" s="937">
        <v>44161</v>
      </c>
      <c r="C498" s="936">
        <v>7</v>
      </c>
      <c r="D498" s="936">
        <v>4</v>
      </c>
      <c r="E498" s="945" t="s">
        <v>3327</v>
      </c>
      <c r="F498" s="936">
        <f t="shared" si="44"/>
        <v>7</v>
      </c>
      <c r="G498" s="1035" t="s">
        <v>4247</v>
      </c>
      <c r="H498" s="939"/>
      <c r="I498" s="939" t="s">
        <v>550</v>
      </c>
      <c r="J498" s="939"/>
      <c r="K498" s="5">
        <v>44150</v>
      </c>
      <c r="L498" s="5">
        <v>44181</v>
      </c>
      <c r="M498" s="1199" t="s">
        <v>4253</v>
      </c>
      <c r="N498" s="3" t="s">
        <v>2506</v>
      </c>
      <c r="O498" s="1035" t="s">
        <v>4241</v>
      </c>
      <c r="P498" s="937">
        <v>44181</v>
      </c>
      <c r="Q498" s="937">
        <v>44181</v>
      </c>
      <c r="R498" s="1034" t="s">
        <v>4223</v>
      </c>
      <c r="S498" s="943"/>
      <c r="T498" s="1564"/>
      <c r="U498" s="936"/>
    </row>
    <row r="499" spans="1:21" ht="60.75" customHeight="1">
      <c r="A499" s="936" t="s">
        <v>2479</v>
      </c>
      <c r="B499" s="937">
        <v>44161</v>
      </c>
      <c r="C499" s="936">
        <v>7</v>
      </c>
      <c r="D499" s="936">
        <v>4</v>
      </c>
      <c r="E499" s="945" t="s">
        <v>3241</v>
      </c>
      <c r="F499" s="936">
        <f t="shared" si="44"/>
        <v>8</v>
      </c>
      <c r="G499" s="1035" t="s">
        <v>4248</v>
      </c>
      <c r="H499" s="939"/>
      <c r="I499" s="939" t="s">
        <v>550</v>
      </c>
      <c r="J499" s="939"/>
      <c r="K499" s="5">
        <v>44166</v>
      </c>
      <c r="L499" s="5">
        <v>44196</v>
      </c>
      <c r="M499" s="1199" t="s">
        <v>2616</v>
      </c>
      <c r="N499" s="3" t="s">
        <v>2616</v>
      </c>
      <c r="O499" s="1035" t="s">
        <v>4241</v>
      </c>
      <c r="P499" s="937">
        <v>44181</v>
      </c>
      <c r="Q499" s="937">
        <v>44181</v>
      </c>
      <c r="R499" s="1034" t="s">
        <v>4223</v>
      </c>
      <c r="S499" s="943"/>
      <c r="T499" s="1564"/>
      <c r="U499" s="936"/>
    </row>
    <row r="500" spans="1:21" ht="40.5" customHeight="1">
      <c r="A500" s="936" t="s">
        <v>2479</v>
      </c>
      <c r="B500" s="937">
        <v>44161</v>
      </c>
      <c r="C500" s="936">
        <v>7</v>
      </c>
      <c r="D500" s="936">
        <v>4</v>
      </c>
      <c r="E500" s="945" t="s">
        <v>2733</v>
      </c>
      <c r="F500" s="936">
        <f t="shared" si="44"/>
        <v>9</v>
      </c>
      <c r="G500" s="1035" t="s">
        <v>4249</v>
      </c>
      <c r="H500" s="939"/>
      <c r="I500" s="939" t="s">
        <v>550</v>
      </c>
      <c r="J500" s="939"/>
      <c r="K500" s="5">
        <v>44144</v>
      </c>
      <c r="L500" s="5">
        <v>44191</v>
      </c>
      <c r="M500" s="1199" t="s">
        <v>4254</v>
      </c>
      <c r="N500" s="3" t="s">
        <v>2617</v>
      </c>
      <c r="O500" s="1035" t="s">
        <v>4241</v>
      </c>
      <c r="P500" s="937">
        <v>44181</v>
      </c>
      <c r="Q500" s="937">
        <v>44181</v>
      </c>
      <c r="R500" s="1034" t="s">
        <v>4223</v>
      </c>
      <c r="S500" s="943"/>
      <c r="T500" s="1564"/>
      <c r="U500" s="936"/>
    </row>
    <row r="501" spans="1:21" ht="60" customHeight="1">
      <c r="A501" s="936" t="s">
        <v>2479</v>
      </c>
      <c r="B501" s="937">
        <v>44161</v>
      </c>
      <c r="C501" s="936">
        <v>7</v>
      </c>
      <c r="D501" s="936">
        <v>4</v>
      </c>
      <c r="E501" s="945" t="s">
        <v>2734</v>
      </c>
      <c r="F501" s="936">
        <f t="shared" si="44"/>
        <v>10</v>
      </c>
      <c r="G501" s="1035" t="s">
        <v>3400</v>
      </c>
      <c r="H501" s="939"/>
      <c r="I501" s="939" t="s">
        <v>550</v>
      </c>
      <c r="J501" s="939"/>
      <c r="K501" s="5">
        <v>44166</v>
      </c>
      <c r="L501" s="5">
        <v>44196</v>
      </c>
      <c r="M501" s="1199" t="s">
        <v>4255</v>
      </c>
      <c r="N501" s="3" t="s">
        <v>2509</v>
      </c>
      <c r="O501" s="1035" t="s">
        <v>4241</v>
      </c>
      <c r="P501" s="937">
        <v>44181</v>
      </c>
      <c r="Q501" s="937">
        <v>44181</v>
      </c>
      <c r="R501" s="1034" t="s">
        <v>4223</v>
      </c>
      <c r="S501" s="943"/>
      <c r="T501" s="1564"/>
      <c r="U501" s="936"/>
    </row>
    <row r="502" spans="1:21" ht="52.5" customHeight="1">
      <c r="A502" s="936" t="s">
        <v>2479</v>
      </c>
      <c r="B502" s="937">
        <v>44161</v>
      </c>
      <c r="C502" s="936">
        <v>7</v>
      </c>
      <c r="D502" s="936">
        <v>4</v>
      </c>
      <c r="E502" s="945" t="s">
        <v>2734</v>
      </c>
      <c r="F502" s="936">
        <f t="shared" si="44"/>
        <v>11</v>
      </c>
      <c r="G502" s="1035" t="s">
        <v>3401</v>
      </c>
      <c r="H502" s="939"/>
      <c r="I502" s="939" t="s">
        <v>550</v>
      </c>
      <c r="J502" s="939"/>
      <c r="K502" s="5">
        <v>44166</v>
      </c>
      <c r="L502" s="5">
        <v>44196</v>
      </c>
      <c r="M502" s="1199" t="s">
        <v>4256</v>
      </c>
      <c r="N502" s="3" t="s">
        <v>2509</v>
      </c>
      <c r="O502" s="1035" t="s">
        <v>4241</v>
      </c>
      <c r="P502" s="937">
        <v>44181</v>
      </c>
      <c r="Q502" s="937">
        <v>44181</v>
      </c>
      <c r="R502" s="1034" t="s">
        <v>4223</v>
      </c>
      <c r="S502" s="943"/>
      <c r="T502" s="1564"/>
      <c r="U502" s="936"/>
    </row>
    <row r="503" spans="1:21" ht="54.75" customHeight="1">
      <c r="A503" s="936" t="s">
        <v>2479</v>
      </c>
      <c r="B503" s="937">
        <v>44161</v>
      </c>
      <c r="C503" s="936">
        <v>7</v>
      </c>
      <c r="D503" s="936">
        <v>4</v>
      </c>
      <c r="E503" s="945" t="s">
        <v>2734</v>
      </c>
      <c r="F503" s="936">
        <f t="shared" si="44"/>
        <v>12</v>
      </c>
      <c r="G503" s="1231" t="s">
        <v>3402</v>
      </c>
      <c r="H503" s="939"/>
      <c r="I503" s="939" t="s">
        <v>550</v>
      </c>
      <c r="J503" s="939"/>
      <c r="K503" s="5">
        <v>44166</v>
      </c>
      <c r="L503" s="5">
        <v>44196</v>
      </c>
      <c r="M503" s="939" t="s">
        <v>4257</v>
      </c>
      <c r="N503" s="3" t="s">
        <v>2509</v>
      </c>
      <c r="O503" s="1035" t="s">
        <v>4241</v>
      </c>
      <c r="P503" s="937">
        <v>44181</v>
      </c>
      <c r="Q503" s="937">
        <v>44181</v>
      </c>
      <c r="R503" s="1034" t="s">
        <v>4223</v>
      </c>
      <c r="S503" s="943"/>
      <c r="T503" s="1564"/>
      <c r="U503" s="936"/>
    </row>
    <row r="504" spans="1:21" ht="58.5" customHeight="1">
      <c r="A504" s="936" t="s">
        <v>2479</v>
      </c>
      <c r="B504" s="937">
        <v>44161</v>
      </c>
      <c r="C504" s="936">
        <v>7</v>
      </c>
      <c r="D504" s="936">
        <v>4</v>
      </c>
      <c r="E504" s="945" t="s">
        <v>2735</v>
      </c>
      <c r="F504" s="936">
        <f t="shared" si="44"/>
        <v>13</v>
      </c>
      <c r="G504" s="1231" t="s">
        <v>3403</v>
      </c>
      <c r="H504" s="939"/>
      <c r="I504" s="939" t="s">
        <v>550</v>
      </c>
      <c r="J504" s="939"/>
      <c r="K504" s="5">
        <v>44140</v>
      </c>
      <c r="L504" s="5">
        <v>44191</v>
      </c>
      <c r="M504" s="939" t="s">
        <v>4258</v>
      </c>
      <c r="N504" s="3" t="s">
        <v>2518</v>
      </c>
      <c r="O504" s="1035" t="s">
        <v>4241</v>
      </c>
      <c r="P504" s="937">
        <v>44181</v>
      </c>
      <c r="Q504" s="937">
        <v>44181</v>
      </c>
      <c r="R504" s="1034" t="s">
        <v>4223</v>
      </c>
      <c r="S504" s="943"/>
      <c r="T504" s="1564"/>
      <c r="U504" s="936"/>
    </row>
    <row r="505" spans="1:21" ht="54.75" customHeight="1">
      <c r="A505" s="936" t="s">
        <v>2479</v>
      </c>
      <c r="B505" s="937">
        <v>44161</v>
      </c>
      <c r="C505" s="936">
        <v>7</v>
      </c>
      <c r="D505" s="936">
        <v>4</v>
      </c>
      <c r="E505" s="945" t="s">
        <v>2735</v>
      </c>
      <c r="F505" s="936">
        <f t="shared" si="44"/>
        <v>14</v>
      </c>
      <c r="G505" s="1231" t="s">
        <v>3404</v>
      </c>
      <c r="H505" s="939"/>
      <c r="I505" s="939" t="s">
        <v>550</v>
      </c>
      <c r="J505" s="939"/>
      <c r="K505" s="5">
        <v>44140</v>
      </c>
      <c r="L505" s="5">
        <v>44191</v>
      </c>
      <c r="M505" s="939" t="s">
        <v>4259</v>
      </c>
      <c r="N505" s="3" t="s">
        <v>2518</v>
      </c>
      <c r="O505" s="1035" t="s">
        <v>4241</v>
      </c>
      <c r="P505" s="937">
        <v>44181</v>
      </c>
      <c r="Q505" s="937">
        <v>44181</v>
      </c>
      <c r="R505" s="1034" t="s">
        <v>4223</v>
      </c>
      <c r="S505" s="943"/>
      <c r="T505" s="1564"/>
      <c r="U505" s="936"/>
    </row>
    <row r="506" spans="1:21" ht="69" customHeight="1">
      <c r="A506" s="936" t="s">
        <v>2479</v>
      </c>
      <c r="B506" s="937">
        <v>44161</v>
      </c>
      <c r="C506" s="936">
        <v>7</v>
      </c>
      <c r="D506" s="936">
        <v>5</v>
      </c>
      <c r="E506" s="945" t="s">
        <v>3243</v>
      </c>
      <c r="F506" s="936">
        <f t="shared" si="44"/>
        <v>15</v>
      </c>
      <c r="G506" s="1231" t="s">
        <v>3405</v>
      </c>
      <c r="H506" s="939"/>
      <c r="I506" s="939" t="s">
        <v>550</v>
      </c>
      <c r="J506" s="939"/>
      <c r="K506" s="5">
        <v>44139</v>
      </c>
      <c r="L506" s="5">
        <v>44191</v>
      </c>
      <c r="M506" s="939" t="s">
        <v>4260</v>
      </c>
      <c r="N506" s="3" t="s">
        <v>1975</v>
      </c>
      <c r="O506" s="1035" t="s">
        <v>4241</v>
      </c>
      <c r="P506" s="937">
        <v>44181</v>
      </c>
      <c r="Q506" s="937">
        <v>44181</v>
      </c>
      <c r="R506" s="1034" t="s">
        <v>4223</v>
      </c>
      <c r="S506" s="943"/>
      <c r="T506" s="1564"/>
      <c r="U506" s="936"/>
    </row>
    <row r="507" spans="1:21" ht="70.5" customHeight="1">
      <c r="A507" s="936" t="s">
        <v>2479</v>
      </c>
      <c r="B507" s="937">
        <v>44161</v>
      </c>
      <c r="C507" s="936">
        <v>7</v>
      </c>
      <c r="D507" s="936">
        <v>5</v>
      </c>
      <c r="E507" s="945" t="s">
        <v>3243</v>
      </c>
      <c r="F507" s="936">
        <f t="shared" si="44"/>
        <v>16</v>
      </c>
      <c r="G507" s="1231" t="s">
        <v>3406</v>
      </c>
      <c r="H507" s="939"/>
      <c r="I507" s="939" t="s">
        <v>550</v>
      </c>
      <c r="J507" s="939"/>
      <c r="K507" s="5">
        <v>44139</v>
      </c>
      <c r="L507" s="5">
        <v>44191</v>
      </c>
      <c r="M507" s="939" t="s">
        <v>4261</v>
      </c>
      <c r="N507" s="3" t="s">
        <v>1975</v>
      </c>
      <c r="O507" s="1035" t="s">
        <v>4241</v>
      </c>
      <c r="P507" s="937">
        <v>44181</v>
      </c>
      <c r="Q507" s="937">
        <v>44181</v>
      </c>
      <c r="R507" s="1034" t="s">
        <v>4223</v>
      </c>
      <c r="S507" s="943"/>
      <c r="T507" s="1564"/>
      <c r="U507" s="936"/>
    </row>
    <row r="508" spans="1:21" ht="75" customHeight="1">
      <c r="A508" s="936" t="s">
        <v>2479</v>
      </c>
      <c r="B508" s="937">
        <v>44161</v>
      </c>
      <c r="C508" s="936">
        <v>7</v>
      </c>
      <c r="D508" s="936">
        <v>5</v>
      </c>
      <c r="E508" s="945" t="s">
        <v>3243</v>
      </c>
      <c r="F508" s="936">
        <f t="shared" si="44"/>
        <v>17</v>
      </c>
      <c r="G508" s="1231" t="s">
        <v>3407</v>
      </c>
      <c r="H508" s="939"/>
      <c r="I508" s="939" t="s">
        <v>550</v>
      </c>
      <c r="J508" s="939"/>
      <c r="K508" s="5">
        <v>44139</v>
      </c>
      <c r="L508" s="5">
        <v>44191</v>
      </c>
      <c r="M508" s="939" t="s">
        <v>4262</v>
      </c>
      <c r="N508" s="3" t="s">
        <v>1975</v>
      </c>
      <c r="O508" s="1035" t="s">
        <v>4241</v>
      </c>
      <c r="P508" s="937">
        <v>44181</v>
      </c>
      <c r="Q508" s="937">
        <v>44181</v>
      </c>
      <c r="R508" s="1034" t="s">
        <v>4223</v>
      </c>
      <c r="S508" s="943"/>
      <c r="T508" s="1564"/>
      <c r="U508" s="936"/>
    </row>
    <row r="509" spans="1:21" ht="72.75" customHeight="1">
      <c r="A509" s="936" t="s">
        <v>2479</v>
      </c>
      <c r="B509" s="937">
        <v>44161</v>
      </c>
      <c r="C509" s="936">
        <v>7</v>
      </c>
      <c r="D509" s="936">
        <v>5</v>
      </c>
      <c r="E509" s="945" t="s">
        <v>3243</v>
      </c>
      <c r="F509" s="936">
        <f t="shared" si="44"/>
        <v>18</v>
      </c>
      <c r="G509" s="1231" t="s">
        <v>3408</v>
      </c>
      <c r="H509" s="939"/>
      <c r="I509" s="939" t="s">
        <v>550</v>
      </c>
      <c r="J509" s="939"/>
      <c r="K509" s="5">
        <v>44139</v>
      </c>
      <c r="L509" s="5">
        <v>44191</v>
      </c>
      <c r="M509" s="939" t="s">
        <v>4262</v>
      </c>
      <c r="N509" s="3" t="s">
        <v>1975</v>
      </c>
      <c r="O509" s="1035" t="s">
        <v>4241</v>
      </c>
      <c r="P509" s="937">
        <v>44181</v>
      </c>
      <c r="Q509" s="937">
        <v>44181</v>
      </c>
      <c r="R509" s="1034" t="s">
        <v>4223</v>
      </c>
      <c r="S509" s="943"/>
      <c r="T509" s="1564"/>
      <c r="U509" s="936"/>
    </row>
    <row r="510" spans="1:21" ht="69.75" customHeight="1">
      <c r="A510" s="936" t="s">
        <v>2479</v>
      </c>
      <c r="B510" s="937">
        <v>44161</v>
      </c>
      <c r="C510" s="936">
        <v>7</v>
      </c>
      <c r="D510" s="936">
        <v>5</v>
      </c>
      <c r="E510" s="945" t="s">
        <v>3243</v>
      </c>
      <c r="F510" s="936">
        <f t="shared" si="44"/>
        <v>19</v>
      </c>
      <c r="G510" s="1231" t="s">
        <v>3409</v>
      </c>
      <c r="H510" s="939"/>
      <c r="I510" s="939" t="s">
        <v>550</v>
      </c>
      <c r="J510" s="939"/>
      <c r="K510" s="5">
        <v>44139</v>
      </c>
      <c r="L510" s="5">
        <v>44191</v>
      </c>
      <c r="M510" s="939" t="s">
        <v>4263</v>
      </c>
      <c r="N510" s="3" t="s">
        <v>1975</v>
      </c>
      <c r="O510" s="1035" t="s">
        <v>4241</v>
      </c>
      <c r="P510" s="937">
        <v>44181</v>
      </c>
      <c r="Q510" s="937">
        <v>44181</v>
      </c>
      <c r="R510" s="1034" t="s">
        <v>4223</v>
      </c>
      <c r="S510" s="943"/>
      <c r="T510" s="1564"/>
      <c r="U510" s="936"/>
    </row>
    <row r="511" spans="1:21" ht="71.25" customHeight="1">
      <c r="A511" s="936" t="s">
        <v>2479</v>
      </c>
      <c r="B511" s="937">
        <v>44161</v>
      </c>
      <c r="C511" s="936">
        <v>7</v>
      </c>
      <c r="D511" s="936">
        <v>5</v>
      </c>
      <c r="E511" s="945" t="s">
        <v>3243</v>
      </c>
      <c r="F511" s="936">
        <f t="shared" si="44"/>
        <v>20</v>
      </c>
      <c r="G511" s="1231" t="s">
        <v>3410</v>
      </c>
      <c r="H511" s="939"/>
      <c r="I511" s="939" t="s">
        <v>550</v>
      </c>
      <c r="J511" s="939"/>
      <c r="K511" s="5">
        <v>44139</v>
      </c>
      <c r="L511" s="5">
        <v>44191</v>
      </c>
      <c r="M511" s="939" t="s">
        <v>4263</v>
      </c>
      <c r="N511" s="3" t="s">
        <v>1975</v>
      </c>
      <c r="O511" s="1035" t="s">
        <v>4241</v>
      </c>
      <c r="P511" s="937">
        <v>44181</v>
      </c>
      <c r="Q511" s="937">
        <v>44181</v>
      </c>
      <c r="R511" s="1034" t="s">
        <v>4223</v>
      </c>
      <c r="S511" s="943"/>
      <c r="T511" s="1564"/>
      <c r="U511" s="936"/>
    </row>
    <row r="512" spans="1:21" ht="68.25" customHeight="1">
      <c r="A512" s="936" t="s">
        <v>2479</v>
      </c>
      <c r="B512" s="937">
        <v>44161</v>
      </c>
      <c r="C512" s="936">
        <v>7</v>
      </c>
      <c r="D512" s="936">
        <v>5</v>
      </c>
      <c r="E512" s="945" t="s">
        <v>3243</v>
      </c>
      <c r="F512" s="936">
        <f t="shared" si="44"/>
        <v>21</v>
      </c>
      <c r="G512" s="1231" t="s">
        <v>3411</v>
      </c>
      <c r="H512" s="939"/>
      <c r="I512" s="939" t="s">
        <v>550</v>
      </c>
      <c r="J512" s="939"/>
      <c r="K512" s="5">
        <v>44139</v>
      </c>
      <c r="L512" s="5">
        <v>44191</v>
      </c>
      <c r="M512" s="939" t="s">
        <v>4263</v>
      </c>
      <c r="N512" s="3" t="s">
        <v>1975</v>
      </c>
      <c r="O512" s="1035" t="s">
        <v>4241</v>
      </c>
      <c r="P512" s="937">
        <v>44181</v>
      </c>
      <c r="Q512" s="937">
        <v>44181</v>
      </c>
      <c r="R512" s="1034" t="s">
        <v>4223</v>
      </c>
      <c r="S512" s="943"/>
      <c r="T512" s="1564"/>
      <c r="U512" s="936"/>
    </row>
    <row r="513" spans="1:21" ht="63.75" customHeight="1">
      <c r="A513" s="936" t="s">
        <v>2479</v>
      </c>
      <c r="B513" s="937">
        <v>44161</v>
      </c>
      <c r="C513" s="936">
        <v>7</v>
      </c>
      <c r="D513" s="936">
        <v>5</v>
      </c>
      <c r="E513" s="945" t="s">
        <v>3245</v>
      </c>
      <c r="F513" s="936">
        <f t="shared" si="44"/>
        <v>22</v>
      </c>
      <c r="G513" s="1231" t="s">
        <v>3412</v>
      </c>
      <c r="H513" s="939"/>
      <c r="I513" s="939" t="s">
        <v>550</v>
      </c>
      <c r="J513" s="939"/>
      <c r="K513" s="5">
        <v>44172</v>
      </c>
      <c r="L513" s="5">
        <v>44196</v>
      </c>
      <c r="M513" s="939" t="s">
        <v>4264</v>
      </c>
      <c r="N513" s="3" t="s">
        <v>1975</v>
      </c>
      <c r="O513" s="1035" t="s">
        <v>4241</v>
      </c>
      <c r="P513" s="937">
        <v>44181</v>
      </c>
      <c r="Q513" s="937">
        <v>44181</v>
      </c>
      <c r="R513" s="1034" t="s">
        <v>4223</v>
      </c>
      <c r="S513" s="943"/>
      <c r="T513" s="1564"/>
      <c r="U513" s="936"/>
    </row>
    <row r="514" spans="1:21" ht="62.25" customHeight="1">
      <c r="A514" s="936" t="s">
        <v>2479</v>
      </c>
      <c r="B514" s="937">
        <v>44161</v>
      </c>
      <c r="C514" s="936">
        <v>7</v>
      </c>
      <c r="D514" s="936">
        <v>5</v>
      </c>
      <c r="E514" s="945" t="s">
        <v>3247</v>
      </c>
      <c r="F514" s="936">
        <f t="shared" si="44"/>
        <v>23</v>
      </c>
      <c r="G514" s="1231" t="s">
        <v>3413</v>
      </c>
      <c r="H514" s="939"/>
      <c r="I514" s="939" t="s">
        <v>550</v>
      </c>
      <c r="J514" s="939"/>
      <c r="K514" s="5">
        <v>44153</v>
      </c>
      <c r="L514" s="5">
        <v>44191</v>
      </c>
      <c r="M514" s="939" t="s">
        <v>4265</v>
      </c>
      <c r="N514" s="3" t="s">
        <v>1975</v>
      </c>
      <c r="O514" s="1035" t="s">
        <v>4241</v>
      </c>
      <c r="P514" s="937">
        <v>44181</v>
      </c>
      <c r="Q514" s="937">
        <v>44181</v>
      </c>
      <c r="R514" s="1034" t="s">
        <v>4223</v>
      </c>
      <c r="S514" s="943"/>
      <c r="T514" s="1564"/>
      <c r="U514" s="936"/>
    </row>
    <row r="515" spans="1:21" ht="56.25" customHeight="1">
      <c r="A515" s="936" t="s">
        <v>2479</v>
      </c>
      <c r="B515" s="937">
        <v>44161</v>
      </c>
      <c r="C515" s="936">
        <v>7</v>
      </c>
      <c r="D515" s="936">
        <v>5</v>
      </c>
      <c r="E515" s="945" t="s">
        <v>3247</v>
      </c>
      <c r="F515" s="936">
        <f t="shared" si="44"/>
        <v>24</v>
      </c>
      <c r="G515" s="1231" t="s">
        <v>3414</v>
      </c>
      <c r="H515" s="939"/>
      <c r="I515" s="939" t="s">
        <v>550</v>
      </c>
      <c r="J515" s="939"/>
      <c r="K515" s="5">
        <v>44153</v>
      </c>
      <c r="L515" s="5">
        <v>44191</v>
      </c>
      <c r="M515" s="939" t="s">
        <v>4266</v>
      </c>
      <c r="N515" s="3" t="s">
        <v>1975</v>
      </c>
      <c r="O515" s="1035" t="s">
        <v>4241</v>
      </c>
      <c r="P515" s="937">
        <v>44181</v>
      </c>
      <c r="Q515" s="937">
        <v>44181</v>
      </c>
      <c r="R515" s="1034" t="s">
        <v>4223</v>
      </c>
      <c r="S515" s="943"/>
      <c r="T515" s="1564"/>
      <c r="U515" s="936"/>
    </row>
    <row r="516" spans="1:21" ht="55.5" customHeight="1">
      <c r="A516" s="936" t="s">
        <v>2479</v>
      </c>
      <c r="B516" s="937">
        <v>44161</v>
      </c>
      <c r="C516" s="936">
        <v>7</v>
      </c>
      <c r="D516" s="936">
        <v>5</v>
      </c>
      <c r="E516" s="945" t="s">
        <v>3247</v>
      </c>
      <c r="F516" s="936">
        <f t="shared" si="44"/>
        <v>25</v>
      </c>
      <c r="G516" s="1231" t="s">
        <v>3415</v>
      </c>
      <c r="H516" s="939"/>
      <c r="I516" s="939" t="s">
        <v>550</v>
      </c>
      <c r="J516" s="939"/>
      <c r="K516" s="5">
        <v>44153</v>
      </c>
      <c r="L516" s="5">
        <v>44191</v>
      </c>
      <c r="M516" s="939" t="s">
        <v>4267</v>
      </c>
      <c r="N516" s="3" t="s">
        <v>1975</v>
      </c>
      <c r="O516" s="1035" t="s">
        <v>4241</v>
      </c>
      <c r="P516" s="937">
        <v>44181</v>
      </c>
      <c r="Q516" s="937">
        <v>44181</v>
      </c>
      <c r="R516" s="1034" t="s">
        <v>4223</v>
      </c>
      <c r="S516" s="943"/>
      <c r="T516" s="1564"/>
      <c r="U516" s="936"/>
    </row>
    <row r="517" spans="1:21" ht="65.25" customHeight="1">
      <c r="A517" s="936" t="s">
        <v>2479</v>
      </c>
      <c r="B517" s="937">
        <v>44161</v>
      </c>
      <c r="C517" s="936">
        <v>7</v>
      </c>
      <c r="D517" s="936">
        <v>5</v>
      </c>
      <c r="E517" s="945" t="s">
        <v>3247</v>
      </c>
      <c r="F517" s="936">
        <f t="shared" si="44"/>
        <v>26</v>
      </c>
      <c r="G517" s="1231" t="s">
        <v>3416</v>
      </c>
      <c r="H517" s="939"/>
      <c r="I517" s="939" t="s">
        <v>550</v>
      </c>
      <c r="J517" s="939"/>
      <c r="K517" s="5">
        <v>44153</v>
      </c>
      <c r="L517" s="5">
        <v>44191</v>
      </c>
      <c r="M517" s="939" t="s">
        <v>4268</v>
      </c>
      <c r="N517" s="3" t="s">
        <v>1975</v>
      </c>
      <c r="O517" s="1035" t="s">
        <v>4241</v>
      </c>
      <c r="P517" s="937">
        <v>44181</v>
      </c>
      <c r="Q517" s="937">
        <v>44181</v>
      </c>
      <c r="R517" s="1034" t="s">
        <v>4223</v>
      </c>
      <c r="S517" s="943"/>
      <c r="T517" s="1564"/>
      <c r="U517" s="936"/>
    </row>
    <row r="518" spans="1:21" ht="77.25" customHeight="1">
      <c r="A518" s="936" t="s">
        <v>2479</v>
      </c>
      <c r="B518" s="937">
        <v>44161</v>
      </c>
      <c r="C518" s="936">
        <v>7</v>
      </c>
      <c r="D518" s="936">
        <v>5</v>
      </c>
      <c r="E518" s="945" t="s">
        <v>3250</v>
      </c>
      <c r="F518" s="936">
        <f t="shared" si="44"/>
        <v>27</v>
      </c>
      <c r="G518" s="1231" t="s">
        <v>3417</v>
      </c>
      <c r="H518" s="939"/>
      <c r="I518" s="939" t="s">
        <v>550</v>
      </c>
      <c r="J518" s="939"/>
      <c r="K518" s="5">
        <v>44139</v>
      </c>
      <c r="L518" s="5">
        <v>44196</v>
      </c>
      <c r="M518" s="939" t="s">
        <v>4269</v>
      </c>
      <c r="N518" s="3" t="s">
        <v>1975</v>
      </c>
      <c r="O518" s="1035" t="s">
        <v>4241</v>
      </c>
      <c r="P518" s="937">
        <v>44181</v>
      </c>
      <c r="Q518" s="937">
        <v>44181</v>
      </c>
      <c r="R518" s="1034" t="s">
        <v>4223</v>
      </c>
      <c r="S518" s="943"/>
      <c r="T518" s="1564"/>
      <c r="U518" s="936"/>
    </row>
    <row r="519" spans="1:21" ht="55.5" customHeight="1">
      <c r="A519" s="936" t="s">
        <v>2479</v>
      </c>
      <c r="B519" s="937">
        <v>44161</v>
      </c>
      <c r="C519" s="936">
        <v>7</v>
      </c>
      <c r="D519" s="936">
        <v>5</v>
      </c>
      <c r="E519" s="945" t="s">
        <v>3250</v>
      </c>
      <c r="F519" s="936">
        <f t="shared" si="44"/>
        <v>28</v>
      </c>
      <c r="G519" s="1231" t="s">
        <v>3418</v>
      </c>
      <c r="H519" s="939"/>
      <c r="I519" s="939" t="s">
        <v>550</v>
      </c>
      <c r="J519" s="939"/>
      <c r="K519" s="5">
        <v>44139</v>
      </c>
      <c r="L519" s="5">
        <v>44196</v>
      </c>
      <c r="M519" s="939" t="s">
        <v>4270</v>
      </c>
      <c r="N519" s="3" t="s">
        <v>1975</v>
      </c>
      <c r="O519" s="1035" t="s">
        <v>4241</v>
      </c>
      <c r="P519" s="937">
        <v>44181</v>
      </c>
      <c r="Q519" s="937">
        <v>44181</v>
      </c>
      <c r="R519" s="1034" t="s">
        <v>4223</v>
      </c>
      <c r="S519" s="943"/>
      <c r="T519" s="1564"/>
      <c r="U519" s="936"/>
    </row>
    <row r="520" spans="1:21" ht="71.25" customHeight="1">
      <c r="A520" s="936" t="s">
        <v>2479</v>
      </c>
      <c r="B520" s="937">
        <v>44161</v>
      </c>
      <c r="C520" s="936">
        <v>7</v>
      </c>
      <c r="D520" s="936">
        <v>5</v>
      </c>
      <c r="E520" s="945" t="s">
        <v>3250</v>
      </c>
      <c r="F520" s="936">
        <f t="shared" si="44"/>
        <v>29</v>
      </c>
      <c r="G520" s="1231" t="s">
        <v>3419</v>
      </c>
      <c r="H520" s="939"/>
      <c r="I520" s="939" t="s">
        <v>550</v>
      </c>
      <c r="J520" s="939"/>
      <c r="K520" s="5">
        <v>44139</v>
      </c>
      <c r="L520" s="5">
        <v>44196</v>
      </c>
      <c r="M520" s="939" t="s">
        <v>4271</v>
      </c>
      <c r="N520" s="3" t="s">
        <v>1975</v>
      </c>
      <c r="O520" s="1035" t="s">
        <v>4241</v>
      </c>
      <c r="P520" s="937">
        <v>44181</v>
      </c>
      <c r="Q520" s="937">
        <v>44181</v>
      </c>
      <c r="R520" s="1034" t="s">
        <v>4223</v>
      </c>
      <c r="S520" s="943"/>
      <c r="T520" s="1564"/>
      <c r="U520" s="936"/>
    </row>
    <row r="521" spans="1:21" ht="60.75" customHeight="1">
      <c r="A521" s="936" t="s">
        <v>2479</v>
      </c>
      <c r="B521" s="937">
        <v>44161</v>
      </c>
      <c r="C521" s="936">
        <v>7</v>
      </c>
      <c r="D521" s="936">
        <v>5</v>
      </c>
      <c r="E521" s="945" t="s">
        <v>3247</v>
      </c>
      <c r="F521" s="936">
        <f t="shared" si="44"/>
        <v>30</v>
      </c>
      <c r="G521" s="1231" t="s">
        <v>3420</v>
      </c>
      <c r="H521" s="939"/>
      <c r="I521" s="939" t="s">
        <v>550</v>
      </c>
      <c r="J521" s="939"/>
      <c r="K521" s="5">
        <v>44153</v>
      </c>
      <c r="L521" s="5">
        <v>44191</v>
      </c>
      <c r="M521" s="939" t="s">
        <v>4272</v>
      </c>
      <c r="N521" s="3" t="s">
        <v>1975</v>
      </c>
      <c r="O521" s="1035" t="s">
        <v>4241</v>
      </c>
      <c r="P521" s="937">
        <v>44181</v>
      </c>
      <c r="Q521" s="937">
        <v>44181</v>
      </c>
      <c r="R521" s="1034" t="s">
        <v>4223</v>
      </c>
      <c r="S521" s="943"/>
      <c r="T521" s="1564"/>
      <c r="U521" s="936"/>
    </row>
    <row r="522" spans="1:21" ht="53.25" customHeight="1">
      <c r="A522" s="936" t="s">
        <v>2479</v>
      </c>
      <c r="B522" s="937">
        <v>44161</v>
      </c>
      <c r="C522" s="936">
        <v>7</v>
      </c>
      <c r="D522" s="936">
        <v>5</v>
      </c>
      <c r="E522" s="945" t="s">
        <v>3250</v>
      </c>
      <c r="F522" s="936">
        <f t="shared" si="44"/>
        <v>31</v>
      </c>
      <c r="G522" s="1231" t="s">
        <v>3421</v>
      </c>
      <c r="H522" s="939"/>
      <c r="I522" s="939" t="s">
        <v>550</v>
      </c>
      <c r="J522" s="939"/>
      <c r="K522" s="5">
        <v>44139</v>
      </c>
      <c r="L522" s="5">
        <v>44196</v>
      </c>
      <c r="M522" s="939" t="s">
        <v>4272</v>
      </c>
      <c r="N522" s="3" t="s">
        <v>1975</v>
      </c>
      <c r="O522" s="1035" t="s">
        <v>4241</v>
      </c>
      <c r="P522" s="937">
        <v>44181</v>
      </c>
      <c r="Q522" s="937">
        <v>44181</v>
      </c>
      <c r="R522" s="1034" t="s">
        <v>4223</v>
      </c>
      <c r="S522" s="943"/>
      <c r="T522" s="1564"/>
      <c r="U522" s="936"/>
    </row>
    <row r="523" spans="1:21" ht="41.25" customHeight="1">
      <c r="A523" s="936" t="s">
        <v>2479</v>
      </c>
      <c r="B523" s="937">
        <v>44041</v>
      </c>
      <c r="C523" s="936">
        <v>6</v>
      </c>
      <c r="D523" s="936">
        <v>3</v>
      </c>
      <c r="E523" s="945" t="s">
        <v>2737</v>
      </c>
      <c r="F523" s="936">
        <v>1</v>
      </c>
      <c r="G523" s="1035" t="s">
        <v>3059</v>
      </c>
      <c r="H523" s="939"/>
      <c r="I523" s="939" t="s">
        <v>550</v>
      </c>
      <c r="J523" s="1752"/>
      <c r="K523" s="176">
        <v>43894</v>
      </c>
      <c r="L523" s="5">
        <v>43960</v>
      </c>
      <c r="M523" s="1199" t="s">
        <v>3065</v>
      </c>
      <c r="N523" s="3" t="s">
        <v>2483</v>
      </c>
      <c r="O523" s="939" t="s">
        <v>165</v>
      </c>
      <c r="P523" s="937">
        <f>B523</f>
        <v>44041</v>
      </c>
      <c r="Q523" s="937">
        <f>B523</f>
        <v>44041</v>
      </c>
      <c r="R523" s="1034" t="s">
        <v>4223</v>
      </c>
      <c r="S523" s="943" t="s">
        <v>3060</v>
      </c>
      <c r="T523" s="1564"/>
      <c r="U523" s="936"/>
    </row>
    <row r="524" spans="1:21" ht="40.5" customHeight="1">
      <c r="A524" s="936" t="s">
        <v>2479</v>
      </c>
      <c r="B524" s="937">
        <v>44041</v>
      </c>
      <c r="C524" s="936">
        <v>6</v>
      </c>
      <c r="D524" s="936">
        <v>3</v>
      </c>
      <c r="E524" s="945" t="s">
        <v>2737</v>
      </c>
      <c r="F524" s="936">
        <v>2</v>
      </c>
      <c r="G524" s="1035" t="s">
        <v>3061</v>
      </c>
      <c r="H524" s="939"/>
      <c r="I524" s="939" t="s">
        <v>550</v>
      </c>
      <c r="J524" s="1752"/>
      <c r="K524" s="176">
        <v>43894</v>
      </c>
      <c r="L524" s="5">
        <v>43960</v>
      </c>
      <c r="M524" s="1199" t="s">
        <v>3065</v>
      </c>
      <c r="N524" s="3" t="s">
        <v>2483</v>
      </c>
      <c r="O524" s="939" t="s">
        <v>165</v>
      </c>
      <c r="P524" s="937">
        <f>B524</f>
        <v>44041</v>
      </c>
      <c r="Q524" s="937">
        <f>B524</f>
        <v>44041</v>
      </c>
      <c r="R524" s="1034" t="s">
        <v>4223</v>
      </c>
      <c r="S524" s="943" t="s">
        <v>3060</v>
      </c>
      <c r="T524" s="1564"/>
      <c r="U524" s="936"/>
    </row>
    <row r="525" spans="1:21" ht="40.5" customHeight="1">
      <c r="A525" s="936" t="s">
        <v>2479</v>
      </c>
      <c r="B525" s="937">
        <v>44041</v>
      </c>
      <c r="C525" s="936">
        <v>6</v>
      </c>
      <c r="D525" s="936">
        <v>3</v>
      </c>
      <c r="E525" s="945" t="s">
        <v>2727</v>
      </c>
      <c r="F525" s="936">
        <v>3</v>
      </c>
      <c r="G525" s="1035" t="s">
        <v>3063</v>
      </c>
      <c r="H525" s="939"/>
      <c r="I525" s="939" t="s">
        <v>550</v>
      </c>
      <c r="J525" s="1752"/>
      <c r="K525" s="176">
        <v>43893</v>
      </c>
      <c r="L525" s="5">
        <v>43982</v>
      </c>
      <c r="M525" s="1199" t="s">
        <v>1607</v>
      </c>
      <c r="N525" s="3" t="s">
        <v>2509</v>
      </c>
      <c r="O525" s="939" t="s">
        <v>165</v>
      </c>
      <c r="P525" s="937">
        <f t="shared" ref="P525:P536" si="45">B525</f>
        <v>44041</v>
      </c>
      <c r="Q525" s="937">
        <f t="shared" ref="Q525:Q536" si="46">B525</f>
        <v>44041</v>
      </c>
      <c r="R525" s="1034" t="s">
        <v>4223</v>
      </c>
      <c r="S525" s="941" t="s">
        <v>2913</v>
      </c>
      <c r="T525" s="1564"/>
      <c r="U525" s="936"/>
    </row>
    <row r="526" spans="1:21" ht="51.75" customHeight="1">
      <c r="A526" s="936" t="s">
        <v>2479</v>
      </c>
      <c r="B526" s="937">
        <v>44041</v>
      </c>
      <c r="C526" s="936">
        <v>6</v>
      </c>
      <c r="D526" s="936">
        <v>3</v>
      </c>
      <c r="E526" s="1567" t="s">
        <v>3064</v>
      </c>
      <c r="F526" s="936">
        <v>4</v>
      </c>
      <c r="G526" s="1035" t="s">
        <v>3062</v>
      </c>
      <c r="H526" s="939"/>
      <c r="I526" s="939" t="s">
        <v>550</v>
      </c>
      <c r="J526" s="939"/>
      <c r="K526" s="936" t="s">
        <v>3064</v>
      </c>
      <c r="L526" s="936" t="s">
        <v>3064</v>
      </c>
      <c r="M526" s="939" t="s">
        <v>2535</v>
      </c>
      <c r="N526" s="939" t="s">
        <v>2535</v>
      </c>
      <c r="O526" s="939" t="s">
        <v>165</v>
      </c>
      <c r="P526" s="937">
        <f t="shared" si="45"/>
        <v>44041</v>
      </c>
      <c r="Q526" s="937">
        <f t="shared" si="46"/>
        <v>44041</v>
      </c>
      <c r="R526" s="1034" t="s">
        <v>4223</v>
      </c>
      <c r="S526" s="941"/>
      <c r="T526" s="1564"/>
      <c r="U526" s="936"/>
    </row>
    <row r="527" spans="1:21" ht="25.5">
      <c r="A527" s="936" t="s">
        <v>2479</v>
      </c>
      <c r="B527" s="937">
        <v>44041</v>
      </c>
      <c r="C527" s="936">
        <v>6</v>
      </c>
      <c r="D527" s="936">
        <v>3</v>
      </c>
      <c r="E527" s="936"/>
      <c r="F527" s="936">
        <v>5</v>
      </c>
      <c r="G527" s="1035" t="s">
        <v>3066</v>
      </c>
      <c r="H527" s="939"/>
      <c r="I527" s="939" t="s">
        <v>550</v>
      </c>
      <c r="J527" s="939"/>
      <c r="K527" s="939"/>
      <c r="L527" s="939"/>
      <c r="M527" s="939" t="s">
        <v>3067</v>
      </c>
      <c r="N527" s="939" t="s">
        <v>2527</v>
      </c>
      <c r="O527" s="939" t="s">
        <v>165</v>
      </c>
      <c r="P527" s="937">
        <f t="shared" si="45"/>
        <v>44041</v>
      </c>
      <c r="Q527" s="937">
        <f t="shared" si="46"/>
        <v>44041</v>
      </c>
      <c r="R527" s="1034" t="s">
        <v>4223</v>
      </c>
      <c r="S527" s="941"/>
      <c r="T527" s="1564"/>
      <c r="U527" s="936"/>
    </row>
    <row r="528" spans="1:21" ht="25.5">
      <c r="A528" s="936" t="s">
        <v>2479</v>
      </c>
      <c r="B528" s="937">
        <v>44041</v>
      </c>
      <c r="C528" s="936">
        <v>6</v>
      </c>
      <c r="D528" s="936">
        <v>3</v>
      </c>
      <c r="E528" s="945" t="s">
        <v>2857</v>
      </c>
      <c r="F528" s="936">
        <v>6</v>
      </c>
      <c r="G528" s="1035" t="s">
        <v>3068</v>
      </c>
      <c r="H528" s="939"/>
      <c r="I528" s="939" t="s">
        <v>550</v>
      </c>
      <c r="J528" s="1752"/>
      <c r="K528" s="176">
        <v>44008</v>
      </c>
      <c r="L528" s="5">
        <v>44074</v>
      </c>
      <c r="M528" s="1199" t="s">
        <v>3069</v>
      </c>
      <c r="N528" s="939" t="s">
        <v>2666</v>
      </c>
      <c r="O528" s="939" t="s">
        <v>165</v>
      </c>
      <c r="P528" s="937">
        <f t="shared" si="45"/>
        <v>44041</v>
      </c>
      <c r="Q528" s="937">
        <f t="shared" si="46"/>
        <v>44041</v>
      </c>
      <c r="R528" s="1034" t="s">
        <v>4223</v>
      </c>
      <c r="S528" s="941"/>
      <c r="T528" s="1564"/>
      <c r="U528" s="936"/>
    </row>
    <row r="529" spans="1:21" ht="30">
      <c r="A529" s="936" t="s">
        <v>2479</v>
      </c>
      <c r="B529" s="937">
        <v>44041</v>
      </c>
      <c r="C529" s="936">
        <v>6</v>
      </c>
      <c r="D529" s="936">
        <v>3</v>
      </c>
      <c r="E529" s="945" t="s">
        <v>2858</v>
      </c>
      <c r="F529" s="936">
        <v>7</v>
      </c>
      <c r="G529" s="1035" t="s">
        <v>3070</v>
      </c>
      <c r="H529" s="939"/>
      <c r="I529" s="939" t="s">
        <v>550</v>
      </c>
      <c r="J529" s="1752"/>
      <c r="K529" s="176">
        <v>44018</v>
      </c>
      <c r="L529" s="5">
        <v>44104</v>
      </c>
      <c r="M529" s="939" t="s">
        <v>3071</v>
      </c>
      <c r="N529" s="939" t="s">
        <v>2666</v>
      </c>
      <c r="O529" s="939" t="s">
        <v>165</v>
      </c>
      <c r="P529" s="937">
        <f t="shared" si="45"/>
        <v>44041</v>
      </c>
      <c r="Q529" s="937">
        <f t="shared" si="46"/>
        <v>44041</v>
      </c>
      <c r="R529" s="1034" t="s">
        <v>4223</v>
      </c>
      <c r="S529" s="941"/>
      <c r="T529" s="1564"/>
      <c r="U529" s="936"/>
    </row>
    <row r="530" spans="1:21" ht="91.5" customHeight="1">
      <c r="A530" s="936" t="s">
        <v>2479</v>
      </c>
      <c r="B530" s="937">
        <v>44041</v>
      </c>
      <c r="C530" s="936">
        <v>6</v>
      </c>
      <c r="D530" s="936">
        <v>3</v>
      </c>
      <c r="E530" s="945" t="s">
        <v>2729</v>
      </c>
      <c r="F530" s="936">
        <v>8</v>
      </c>
      <c r="G530" s="1035" t="s">
        <v>3072</v>
      </c>
      <c r="H530" s="939"/>
      <c r="I530" s="939" t="s">
        <v>550</v>
      </c>
      <c r="J530" s="1752"/>
      <c r="K530" s="176">
        <v>43945</v>
      </c>
      <c r="L530" s="5">
        <v>44098</v>
      </c>
      <c r="M530" s="939" t="s">
        <v>2617</v>
      </c>
      <c r="N530" s="939" t="s">
        <v>2617</v>
      </c>
      <c r="O530" s="939" t="s">
        <v>165</v>
      </c>
      <c r="P530" s="937">
        <f t="shared" si="45"/>
        <v>44041</v>
      </c>
      <c r="Q530" s="937">
        <f t="shared" si="46"/>
        <v>44041</v>
      </c>
      <c r="R530" s="1034" t="s">
        <v>4223</v>
      </c>
      <c r="S530" s="941"/>
      <c r="T530" s="1564"/>
      <c r="U530" s="936"/>
    </row>
    <row r="531" spans="1:21" ht="44.25" customHeight="1">
      <c r="A531" s="936" t="s">
        <v>2479</v>
      </c>
      <c r="B531" s="937">
        <v>44041</v>
      </c>
      <c r="C531" s="936">
        <v>6</v>
      </c>
      <c r="D531" s="936">
        <v>3</v>
      </c>
      <c r="E531" s="945" t="s">
        <v>2828</v>
      </c>
      <c r="F531" s="936">
        <v>9</v>
      </c>
      <c r="G531" s="1035" t="s">
        <v>3073</v>
      </c>
      <c r="H531" s="939" t="s">
        <v>3074</v>
      </c>
      <c r="I531" s="939" t="s">
        <v>550</v>
      </c>
      <c r="J531" s="1752"/>
      <c r="K531" s="176">
        <v>43952</v>
      </c>
      <c r="L531" s="5">
        <v>43987</v>
      </c>
      <c r="M531" s="1202" t="s">
        <v>3075</v>
      </c>
      <c r="N531" s="939" t="s">
        <v>2541</v>
      </c>
      <c r="O531" s="939" t="s">
        <v>165</v>
      </c>
      <c r="P531" s="937">
        <f t="shared" si="45"/>
        <v>44041</v>
      </c>
      <c r="Q531" s="937">
        <f t="shared" si="46"/>
        <v>44041</v>
      </c>
      <c r="R531" s="1034" t="s">
        <v>4223</v>
      </c>
      <c r="S531" s="941"/>
      <c r="T531" s="1564"/>
      <c r="U531" s="936"/>
    </row>
    <row r="532" spans="1:21" ht="25.5">
      <c r="A532" s="936" t="s">
        <v>2479</v>
      </c>
      <c r="B532" s="937">
        <v>44041</v>
      </c>
      <c r="C532" s="936">
        <v>6</v>
      </c>
      <c r="D532" s="936">
        <v>3</v>
      </c>
      <c r="E532" s="945" t="s">
        <v>3608</v>
      </c>
      <c r="F532" s="936">
        <v>10</v>
      </c>
      <c r="G532" s="1035" t="s">
        <v>3076</v>
      </c>
      <c r="H532" s="939"/>
      <c r="I532" s="939" t="s">
        <v>550</v>
      </c>
      <c r="J532" s="939"/>
      <c r="K532" s="939"/>
      <c r="L532" s="939"/>
      <c r="M532" s="1035" t="s">
        <v>3077</v>
      </c>
      <c r="N532" s="939" t="s">
        <v>2483</v>
      </c>
      <c r="O532" s="939" t="s">
        <v>165</v>
      </c>
      <c r="P532" s="937">
        <f t="shared" si="45"/>
        <v>44041</v>
      </c>
      <c r="Q532" s="937">
        <f t="shared" si="46"/>
        <v>44041</v>
      </c>
      <c r="R532" s="1034" t="s">
        <v>4223</v>
      </c>
      <c r="S532" s="941"/>
      <c r="T532" s="1564"/>
      <c r="U532" s="936"/>
    </row>
    <row r="533" spans="1:21" ht="26.25" customHeight="1">
      <c r="A533" s="936" t="s">
        <v>2479</v>
      </c>
      <c r="B533" s="937">
        <v>44041</v>
      </c>
      <c r="C533" s="936">
        <v>6</v>
      </c>
      <c r="D533" s="936">
        <v>3</v>
      </c>
      <c r="E533" s="945" t="s">
        <v>3608</v>
      </c>
      <c r="F533" s="936">
        <v>11</v>
      </c>
      <c r="G533" s="1035" t="s">
        <v>3078</v>
      </c>
      <c r="H533" s="939"/>
      <c r="I533" s="939" t="s">
        <v>550</v>
      </c>
      <c r="J533" s="939"/>
      <c r="K533" s="939"/>
      <c r="L533" s="939"/>
      <c r="M533" s="1035" t="s">
        <v>3077</v>
      </c>
      <c r="N533" s="939" t="s">
        <v>2483</v>
      </c>
      <c r="O533" s="939" t="s">
        <v>165</v>
      </c>
      <c r="P533" s="937">
        <f t="shared" si="45"/>
        <v>44041</v>
      </c>
      <c r="Q533" s="937">
        <f t="shared" si="46"/>
        <v>44041</v>
      </c>
      <c r="R533" s="1034" t="s">
        <v>4223</v>
      </c>
      <c r="S533" s="941"/>
      <c r="T533" s="1564"/>
      <c r="U533" s="936"/>
    </row>
    <row r="534" spans="1:21" ht="38.25">
      <c r="A534" s="936" t="s">
        <v>2479</v>
      </c>
      <c r="B534" s="937">
        <v>44041</v>
      </c>
      <c r="C534" s="936">
        <v>6</v>
      </c>
      <c r="D534" s="936">
        <v>3</v>
      </c>
      <c r="E534" s="945" t="s">
        <v>3608</v>
      </c>
      <c r="F534" s="936">
        <v>12</v>
      </c>
      <c r="G534" s="1035" t="s">
        <v>3079</v>
      </c>
      <c r="H534" s="939"/>
      <c r="I534" s="939" t="s">
        <v>550</v>
      </c>
      <c r="J534" s="939"/>
      <c r="K534" s="939"/>
      <c r="L534" s="939"/>
      <c r="M534" s="1035" t="s">
        <v>3077</v>
      </c>
      <c r="N534" s="939" t="s">
        <v>2483</v>
      </c>
      <c r="O534" s="939" t="s">
        <v>165</v>
      </c>
      <c r="P534" s="937">
        <f t="shared" si="45"/>
        <v>44041</v>
      </c>
      <c r="Q534" s="937">
        <f t="shared" si="46"/>
        <v>44041</v>
      </c>
      <c r="R534" s="1034" t="s">
        <v>4223</v>
      </c>
      <c r="S534" s="941"/>
      <c r="T534" s="1564"/>
      <c r="U534" s="936"/>
    </row>
    <row r="535" spans="1:21" ht="38.25">
      <c r="A535" s="936" t="s">
        <v>2479</v>
      </c>
      <c r="B535" s="937">
        <v>44041</v>
      </c>
      <c r="C535" s="936">
        <v>6</v>
      </c>
      <c r="D535" s="936">
        <v>3</v>
      </c>
      <c r="E535" s="945" t="s">
        <v>3029</v>
      </c>
      <c r="F535" s="936">
        <v>13</v>
      </c>
      <c r="G535" s="1035" t="s">
        <v>3080</v>
      </c>
      <c r="H535" s="939"/>
      <c r="I535" s="939" t="s">
        <v>550</v>
      </c>
      <c r="J535" s="939"/>
      <c r="K535" s="939"/>
      <c r="L535" s="939"/>
      <c r="M535" s="1035" t="s">
        <v>3081</v>
      </c>
      <c r="N535" s="1035" t="s">
        <v>2527</v>
      </c>
      <c r="O535" s="939" t="s">
        <v>165</v>
      </c>
      <c r="P535" s="937">
        <f t="shared" si="45"/>
        <v>44041</v>
      </c>
      <c r="Q535" s="937">
        <f t="shared" si="46"/>
        <v>44041</v>
      </c>
      <c r="R535" s="1034" t="s">
        <v>4223</v>
      </c>
      <c r="S535" s="941"/>
      <c r="T535" s="1564"/>
      <c r="U535" s="936"/>
    </row>
    <row r="536" spans="1:21" ht="30" customHeight="1">
      <c r="A536" s="936" t="s">
        <v>2479</v>
      </c>
      <c r="B536" s="937">
        <v>44041</v>
      </c>
      <c r="C536" s="936">
        <v>6</v>
      </c>
      <c r="D536" s="936">
        <v>3</v>
      </c>
      <c r="E536" s="945" t="s">
        <v>3021</v>
      </c>
      <c r="F536" s="936">
        <v>14</v>
      </c>
      <c r="G536" s="1035" t="s">
        <v>3082</v>
      </c>
      <c r="H536" s="939"/>
      <c r="I536" s="939" t="s">
        <v>550</v>
      </c>
      <c r="J536" s="939"/>
      <c r="K536" s="939"/>
      <c r="L536" s="939"/>
      <c r="M536" s="1035" t="s">
        <v>3083</v>
      </c>
      <c r="N536" s="1035" t="s">
        <v>2483</v>
      </c>
      <c r="O536" s="939" t="s">
        <v>165</v>
      </c>
      <c r="P536" s="937">
        <f t="shared" si="45"/>
        <v>44041</v>
      </c>
      <c r="Q536" s="937">
        <f t="shared" si="46"/>
        <v>44041</v>
      </c>
      <c r="R536" s="1034" t="s">
        <v>4223</v>
      </c>
      <c r="S536" s="941"/>
      <c r="T536" s="1564"/>
      <c r="U536" s="936"/>
    </row>
    <row r="537" spans="1:21" ht="25.5">
      <c r="A537" s="936" t="s">
        <v>2479</v>
      </c>
      <c r="B537" s="937">
        <v>44041</v>
      </c>
      <c r="C537" s="936">
        <v>6</v>
      </c>
      <c r="D537" s="936">
        <v>4</v>
      </c>
      <c r="E537" s="945" t="s">
        <v>3022</v>
      </c>
      <c r="F537" s="936">
        <v>15</v>
      </c>
      <c r="G537" s="1035" t="s">
        <v>3084</v>
      </c>
      <c r="H537" s="939"/>
      <c r="I537" s="939" t="s">
        <v>550</v>
      </c>
      <c r="J537" s="939"/>
      <c r="K537" s="939"/>
      <c r="L537" s="939"/>
      <c r="M537" s="1035" t="s">
        <v>2580</v>
      </c>
      <c r="N537" s="1035" t="s">
        <v>2580</v>
      </c>
      <c r="O537" s="939" t="s">
        <v>165</v>
      </c>
      <c r="P537" s="937">
        <f>B537</f>
        <v>44041</v>
      </c>
      <c r="Q537" s="937">
        <f>B537</f>
        <v>44041</v>
      </c>
      <c r="R537" s="1034" t="s">
        <v>4223</v>
      </c>
      <c r="S537" s="941"/>
      <c r="T537" s="1564"/>
      <c r="U537" s="936"/>
    </row>
    <row r="538" spans="1:21" ht="38.25">
      <c r="A538" s="936" t="s">
        <v>2479</v>
      </c>
      <c r="B538" s="937">
        <v>44041</v>
      </c>
      <c r="C538" s="936">
        <v>6</v>
      </c>
      <c r="D538" s="936">
        <v>4</v>
      </c>
      <c r="E538" s="945" t="s">
        <v>2832</v>
      </c>
      <c r="F538" s="936">
        <v>16</v>
      </c>
      <c r="G538" s="1035" t="s">
        <v>3085</v>
      </c>
      <c r="H538" s="939"/>
      <c r="I538" s="939" t="s">
        <v>550</v>
      </c>
      <c r="J538" s="939"/>
      <c r="K538" s="5">
        <v>44046</v>
      </c>
      <c r="L538" s="5">
        <v>44099</v>
      </c>
      <c r="M538" s="1202" t="s">
        <v>3086</v>
      </c>
      <c r="N538" s="1035" t="s">
        <v>2483</v>
      </c>
      <c r="O538" s="939" t="s">
        <v>165</v>
      </c>
      <c r="P538" s="937">
        <f>B538</f>
        <v>44041</v>
      </c>
      <c r="Q538" s="937">
        <f>B538</f>
        <v>44041</v>
      </c>
      <c r="R538" s="1034" t="s">
        <v>4223</v>
      </c>
      <c r="S538" s="941"/>
      <c r="T538" s="1564"/>
      <c r="U538" s="936"/>
    </row>
    <row r="539" spans="1:21" ht="38.25">
      <c r="A539" s="936" t="s">
        <v>2479</v>
      </c>
      <c r="B539" s="937">
        <v>44041</v>
      </c>
      <c r="C539" s="936">
        <v>6</v>
      </c>
      <c r="D539" s="936">
        <v>4</v>
      </c>
      <c r="E539" s="945" t="s">
        <v>2832</v>
      </c>
      <c r="F539" s="936">
        <v>17</v>
      </c>
      <c r="G539" s="1035" t="s">
        <v>3087</v>
      </c>
      <c r="H539" s="939"/>
      <c r="I539" s="939" t="s">
        <v>550</v>
      </c>
      <c r="J539" s="939"/>
      <c r="K539" s="5">
        <v>44046</v>
      </c>
      <c r="L539" s="5">
        <v>44099</v>
      </c>
      <c r="M539" s="1202" t="s">
        <v>3086</v>
      </c>
      <c r="N539" s="1035" t="s">
        <v>2483</v>
      </c>
      <c r="O539" s="939" t="s">
        <v>165</v>
      </c>
      <c r="P539" s="937">
        <f>B539</f>
        <v>44041</v>
      </c>
      <c r="Q539" s="937">
        <f>B539</f>
        <v>44041</v>
      </c>
      <c r="R539" s="1034" t="s">
        <v>4223</v>
      </c>
      <c r="S539" s="941"/>
      <c r="T539" s="1564"/>
      <c r="U539" s="936"/>
    </row>
    <row r="540" spans="1:21" ht="25.5">
      <c r="A540" s="936" t="s">
        <v>2479</v>
      </c>
      <c r="B540" s="937">
        <v>44041</v>
      </c>
      <c r="C540" s="936">
        <v>6</v>
      </c>
      <c r="D540" s="936">
        <v>4</v>
      </c>
      <c r="E540" s="936"/>
      <c r="F540" s="936">
        <v>18</v>
      </c>
      <c r="G540" s="1035" t="s">
        <v>3088</v>
      </c>
      <c r="H540" s="939"/>
      <c r="I540" s="939"/>
      <c r="J540" s="939"/>
      <c r="K540" s="939"/>
      <c r="L540" s="939"/>
      <c r="M540" s="1035" t="s">
        <v>3089</v>
      </c>
      <c r="N540" s="1035" t="s">
        <v>2666</v>
      </c>
      <c r="O540" s="939" t="s">
        <v>165</v>
      </c>
      <c r="P540" s="937">
        <f>B540</f>
        <v>44041</v>
      </c>
      <c r="Q540" s="937">
        <f>B540</f>
        <v>44041</v>
      </c>
      <c r="R540" s="1034" t="s">
        <v>4223</v>
      </c>
      <c r="S540" s="941"/>
      <c r="T540" s="1564"/>
      <c r="U540" s="936"/>
    </row>
    <row r="541" spans="1:21" ht="41.25" customHeight="1">
      <c r="A541" s="936" t="s">
        <v>2479</v>
      </c>
      <c r="B541" s="937">
        <v>44041</v>
      </c>
      <c r="C541" s="936">
        <v>6</v>
      </c>
      <c r="D541" s="936">
        <v>4</v>
      </c>
      <c r="E541" s="945" t="s">
        <v>2740</v>
      </c>
      <c r="F541" s="936">
        <v>1</v>
      </c>
      <c r="G541" s="1035" t="s">
        <v>3090</v>
      </c>
      <c r="H541" s="939"/>
      <c r="I541" s="939" t="s">
        <v>550</v>
      </c>
      <c r="J541" s="939"/>
      <c r="K541" s="5">
        <v>43962</v>
      </c>
      <c r="L541" s="5">
        <v>44054</v>
      </c>
      <c r="M541" s="1202" t="s">
        <v>3091</v>
      </c>
      <c r="N541" s="1035" t="s">
        <v>2483</v>
      </c>
      <c r="O541" s="939" t="s">
        <v>76</v>
      </c>
      <c r="P541" s="937">
        <f>B541</f>
        <v>44041</v>
      </c>
      <c r="Q541" s="937">
        <f>B541</f>
        <v>44041</v>
      </c>
      <c r="R541" s="1034" t="s">
        <v>4223</v>
      </c>
      <c r="S541" s="941"/>
      <c r="T541" s="1564"/>
      <c r="U541" s="936"/>
    </row>
    <row r="542" spans="1:21" ht="38.25">
      <c r="A542" s="936" t="s">
        <v>2479</v>
      </c>
      <c r="B542" s="937">
        <v>44041</v>
      </c>
      <c r="C542" s="936">
        <v>6</v>
      </c>
      <c r="D542" s="936">
        <v>4</v>
      </c>
      <c r="E542" s="945" t="s">
        <v>2742</v>
      </c>
      <c r="F542" s="936">
        <v>2</v>
      </c>
      <c r="G542" s="1035" t="s">
        <v>3092</v>
      </c>
      <c r="H542" s="939"/>
      <c r="I542" s="939" t="s">
        <v>550</v>
      </c>
      <c r="J542" s="939"/>
      <c r="K542" s="5">
        <v>43984</v>
      </c>
      <c r="L542" s="5">
        <v>44040</v>
      </c>
      <c r="M542" s="1202" t="s">
        <v>3093</v>
      </c>
      <c r="N542" s="1035" t="s">
        <v>2483</v>
      </c>
      <c r="O542" s="939" t="s">
        <v>76</v>
      </c>
      <c r="P542" s="937">
        <f t="shared" ref="P542:P599" si="47">B542</f>
        <v>44041</v>
      </c>
      <c r="Q542" s="937">
        <f t="shared" ref="Q542:Q599" si="48">B542</f>
        <v>44041</v>
      </c>
      <c r="R542" s="1034" t="s">
        <v>4223</v>
      </c>
      <c r="S542" s="1203" t="s">
        <v>2897</v>
      </c>
      <c r="T542" s="1564"/>
      <c r="U542" s="936"/>
    </row>
    <row r="543" spans="1:21" ht="38.25">
      <c r="A543" s="936" t="s">
        <v>2479</v>
      </c>
      <c r="B543" s="937">
        <v>44041</v>
      </c>
      <c r="C543" s="936">
        <v>6</v>
      </c>
      <c r="D543" s="936">
        <v>4</v>
      </c>
      <c r="E543" s="945" t="s">
        <v>2742</v>
      </c>
      <c r="F543" s="936">
        <v>3</v>
      </c>
      <c r="G543" s="1035" t="s">
        <v>3094</v>
      </c>
      <c r="H543" s="939"/>
      <c r="I543" s="939" t="s">
        <v>550</v>
      </c>
      <c r="J543" s="939"/>
      <c r="K543" s="5">
        <v>43984</v>
      </c>
      <c r="L543" s="5">
        <v>44040</v>
      </c>
      <c r="M543" s="1035" t="s">
        <v>3093</v>
      </c>
      <c r="N543" s="1035" t="s">
        <v>2483</v>
      </c>
      <c r="O543" s="939" t="s">
        <v>76</v>
      </c>
      <c r="P543" s="937">
        <f t="shared" si="47"/>
        <v>44041</v>
      </c>
      <c r="Q543" s="937">
        <f t="shared" si="48"/>
        <v>44041</v>
      </c>
      <c r="R543" s="1034" t="s">
        <v>4223</v>
      </c>
      <c r="S543" s="1203" t="s">
        <v>2897</v>
      </c>
      <c r="T543" s="1564"/>
      <c r="U543" s="936"/>
    </row>
    <row r="544" spans="1:21" ht="84" customHeight="1">
      <c r="A544" s="936" t="s">
        <v>2479</v>
      </c>
      <c r="B544" s="937">
        <v>44041</v>
      </c>
      <c r="C544" s="936">
        <v>6</v>
      </c>
      <c r="D544" s="936">
        <v>4</v>
      </c>
      <c r="E544" s="945" t="s">
        <v>2742</v>
      </c>
      <c r="F544" s="936">
        <v>4</v>
      </c>
      <c r="G544" s="1035" t="s">
        <v>3095</v>
      </c>
      <c r="H544" s="939"/>
      <c r="I544" s="939" t="s">
        <v>550</v>
      </c>
      <c r="J544" s="939"/>
      <c r="K544" s="5">
        <v>43984</v>
      </c>
      <c r="L544" s="5">
        <v>44040</v>
      </c>
      <c r="M544" s="1035" t="s">
        <v>3093</v>
      </c>
      <c r="N544" s="1035" t="s">
        <v>2483</v>
      </c>
      <c r="O544" s="939" t="s">
        <v>76</v>
      </c>
      <c r="P544" s="937">
        <f t="shared" si="47"/>
        <v>44041</v>
      </c>
      <c r="Q544" s="937">
        <f t="shared" si="48"/>
        <v>44041</v>
      </c>
      <c r="R544" s="1034" t="s">
        <v>4223</v>
      </c>
      <c r="S544" s="1203" t="s">
        <v>2897</v>
      </c>
      <c r="T544" s="1564"/>
      <c r="U544" s="936"/>
    </row>
    <row r="545" spans="1:21" ht="38.25">
      <c r="A545" s="936" t="s">
        <v>2479</v>
      </c>
      <c r="B545" s="937">
        <v>44041</v>
      </c>
      <c r="C545" s="936">
        <v>6</v>
      </c>
      <c r="D545" s="936">
        <v>4</v>
      </c>
      <c r="E545" s="945" t="s">
        <v>2743</v>
      </c>
      <c r="F545" s="936">
        <v>5</v>
      </c>
      <c r="G545" s="1035" t="s">
        <v>3098</v>
      </c>
      <c r="H545" s="939"/>
      <c r="I545" s="939" t="s">
        <v>550</v>
      </c>
      <c r="J545" s="939"/>
      <c r="K545" s="5">
        <v>43984</v>
      </c>
      <c r="L545" s="5">
        <v>44040</v>
      </c>
      <c r="M545" s="1202" t="s">
        <v>3097</v>
      </c>
      <c r="N545" s="1035" t="s">
        <v>2483</v>
      </c>
      <c r="O545" s="939" t="s">
        <v>76</v>
      </c>
      <c r="P545" s="937">
        <f t="shared" si="47"/>
        <v>44041</v>
      </c>
      <c r="Q545" s="937">
        <f t="shared" si="48"/>
        <v>44041</v>
      </c>
      <c r="R545" s="1034" t="s">
        <v>4223</v>
      </c>
      <c r="S545" s="1204" t="s">
        <v>2895</v>
      </c>
      <c r="T545" s="1565"/>
      <c r="U545" s="936"/>
    </row>
    <row r="546" spans="1:21" ht="38.25">
      <c r="A546" s="936" t="s">
        <v>2479</v>
      </c>
      <c r="B546" s="937">
        <v>44041</v>
      </c>
      <c r="C546" s="936">
        <v>6</v>
      </c>
      <c r="D546" s="936">
        <v>4</v>
      </c>
      <c r="E546" s="945" t="s">
        <v>2743</v>
      </c>
      <c r="F546" s="936">
        <v>6</v>
      </c>
      <c r="G546" s="1035" t="s">
        <v>3096</v>
      </c>
      <c r="H546" s="939"/>
      <c r="I546" s="939" t="s">
        <v>550</v>
      </c>
      <c r="J546" s="939"/>
      <c r="K546" s="5">
        <v>43984</v>
      </c>
      <c r="L546" s="5">
        <v>44040</v>
      </c>
      <c r="M546" s="1202" t="s">
        <v>3097</v>
      </c>
      <c r="N546" s="1035" t="s">
        <v>2483</v>
      </c>
      <c r="O546" s="939" t="s">
        <v>76</v>
      </c>
      <c r="P546" s="937">
        <f t="shared" si="47"/>
        <v>44041</v>
      </c>
      <c r="Q546" s="937">
        <f t="shared" si="48"/>
        <v>44041</v>
      </c>
      <c r="R546" s="1034" t="s">
        <v>4223</v>
      </c>
      <c r="S546" s="1204" t="s">
        <v>2895</v>
      </c>
      <c r="T546" s="1565"/>
      <c r="U546" s="936"/>
    </row>
    <row r="547" spans="1:21" ht="38.25">
      <c r="A547" s="936" t="s">
        <v>2479</v>
      </c>
      <c r="B547" s="937">
        <v>44041</v>
      </c>
      <c r="C547" s="936">
        <v>6</v>
      </c>
      <c r="D547" s="936">
        <v>4</v>
      </c>
      <c r="E547" s="945" t="s">
        <v>2743</v>
      </c>
      <c r="F547" s="936">
        <v>7</v>
      </c>
      <c r="G547" s="1035" t="s">
        <v>3099</v>
      </c>
      <c r="H547" s="939"/>
      <c r="I547" s="939" t="s">
        <v>550</v>
      </c>
      <c r="J547" s="939"/>
      <c r="K547" s="5">
        <v>43984</v>
      </c>
      <c r="L547" s="5">
        <v>44040</v>
      </c>
      <c r="M547" s="1202" t="s">
        <v>3097</v>
      </c>
      <c r="N547" s="1035" t="s">
        <v>2483</v>
      </c>
      <c r="O547" s="939" t="s">
        <v>76</v>
      </c>
      <c r="P547" s="937">
        <f t="shared" si="47"/>
        <v>44041</v>
      </c>
      <c r="Q547" s="937">
        <f t="shared" si="48"/>
        <v>44041</v>
      </c>
      <c r="R547" s="1034" t="s">
        <v>4223</v>
      </c>
      <c r="S547" s="1204" t="s">
        <v>2895</v>
      </c>
      <c r="T547" s="1565"/>
      <c r="U547" s="936"/>
    </row>
    <row r="548" spans="1:21" ht="42" customHeight="1">
      <c r="A548" s="936" t="s">
        <v>2479</v>
      </c>
      <c r="B548" s="937">
        <v>44041</v>
      </c>
      <c r="C548" s="936">
        <v>6</v>
      </c>
      <c r="D548" s="936">
        <v>4</v>
      </c>
      <c r="E548" s="945" t="s">
        <v>2830</v>
      </c>
      <c r="F548" s="936">
        <v>8</v>
      </c>
      <c r="G548" s="1035" t="s">
        <v>3100</v>
      </c>
      <c r="H548" s="939"/>
      <c r="I548" s="939" t="s">
        <v>550</v>
      </c>
      <c r="J548" s="939"/>
      <c r="K548" s="5">
        <v>43997</v>
      </c>
      <c r="L548" s="5">
        <v>44011</v>
      </c>
      <c r="M548" s="1202" t="s">
        <v>3101</v>
      </c>
      <c r="N548" s="1035" t="s">
        <v>2483</v>
      </c>
      <c r="O548" s="939" t="s">
        <v>76</v>
      </c>
      <c r="P548" s="937">
        <f t="shared" si="47"/>
        <v>44041</v>
      </c>
      <c r="Q548" s="937">
        <f t="shared" si="48"/>
        <v>44041</v>
      </c>
      <c r="R548" s="1034" t="s">
        <v>4223</v>
      </c>
      <c r="S548" s="1203" t="s">
        <v>2896</v>
      </c>
      <c r="T548" s="1564"/>
      <c r="U548" s="936"/>
    </row>
    <row r="549" spans="1:21" ht="25.5">
      <c r="A549" s="936" t="s">
        <v>2479</v>
      </c>
      <c r="B549" s="937">
        <v>44041</v>
      </c>
      <c r="C549" s="936">
        <v>6</v>
      </c>
      <c r="D549" s="936">
        <v>4</v>
      </c>
      <c r="E549" s="945" t="s">
        <v>2830</v>
      </c>
      <c r="F549" s="936">
        <v>9</v>
      </c>
      <c r="G549" s="1035" t="s">
        <v>3102</v>
      </c>
      <c r="H549" s="939"/>
      <c r="I549" s="939" t="s">
        <v>550</v>
      </c>
      <c r="J549" s="939"/>
      <c r="K549" s="5">
        <v>43997</v>
      </c>
      <c r="L549" s="5">
        <v>44011</v>
      </c>
      <c r="M549" s="1202" t="s">
        <v>3101</v>
      </c>
      <c r="N549" s="1035" t="s">
        <v>2483</v>
      </c>
      <c r="O549" s="939" t="s">
        <v>76</v>
      </c>
      <c r="P549" s="937">
        <f t="shared" si="47"/>
        <v>44041</v>
      </c>
      <c r="Q549" s="937">
        <f t="shared" si="48"/>
        <v>44041</v>
      </c>
      <c r="R549" s="1034" t="s">
        <v>4223</v>
      </c>
      <c r="S549" s="1203" t="s">
        <v>2896</v>
      </c>
      <c r="T549" s="1564"/>
      <c r="U549" s="936"/>
    </row>
    <row r="550" spans="1:21" ht="40.5" customHeight="1">
      <c r="A550" s="936" t="s">
        <v>2479</v>
      </c>
      <c r="B550" s="937">
        <v>44041</v>
      </c>
      <c r="C550" s="936">
        <v>6</v>
      </c>
      <c r="D550" s="936">
        <v>4</v>
      </c>
      <c r="E550" s="945" t="s">
        <v>2830</v>
      </c>
      <c r="F550" s="936">
        <v>10</v>
      </c>
      <c r="G550" s="1035" t="s">
        <v>3103</v>
      </c>
      <c r="H550" s="939"/>
      <c r="I550" s="939" t="s">
        <v>550</v>
      </c>
      <c r="J550" s="939"/>
      <c r="K550" s="5">
        <v>43997</v>
      </c>
      <c r="L550" s="5">
        <v>44011</v>
      </c>
      <c r="M550" s="1202" t="s">
        <v>3101</v>
      </c>
      <c r="N550" s="1035" t="s">
        <v>2483</v>
      </c>
      <c r="O550" s="939" t="s">
        <v>76</v>
      </c>
      <c r="P550" s="937">
        <f t="shared" si="47"/>
        <v>44041</v>
      </c>
      <c r="Q550" s="937">
        <f t="shared" si="48"/>
        <v>44041</v>
      </c>
      <c r="R550" s="1034" t="s">
        <v>4223</v>
      </c>
      <c r="S550" s="1203" t="s">
        <v>2896</v>
      </c>
      <c r="T550" s="1564"/>
      <c r="U550" s="936"/>
    </row>
    <row r="551" spans="1:21" ht="38.25">
      <c r="A551" s="936" t="s">
        <v>2479</v>
      </c>
      <c r="B551" s="937">
        <v>44041</v>
      </c>
      <c r="C551" s="936">
        <v>6</v>
      </c>
      <c r="D551" s="936">
        <v>4</v>
      </c>
      <c r="E551" s="945" t="s">
        <v>2745</v>
      </c>
      <c r="F551" s="936">
        <v>11</v>
      </c>
      <c r="G551" s="1035" t="s">
        <v>3104</v>
      </c>
      <c r="H551" s="939"/>
      <c r="I551" s="939" t="s">
        <v>550</v>
      </c>
      <c r="J551" s="939"/>
      <c r="K551" s="5">
        <v>44032</v>
      </c>
      <c r="L551" s="5">
        <v>44063</v>
      </c>
      <c r="M551" s="1202" t="s">
        <v>3105</v>
      </c>
      <c r="N551" s="1035" t="s">
        <v>2483</v>
      </c>
      <c r="O551" s="939" t="s">
        <v>76</v>
      </c>
      <c r="P551" s="937">
        <f t="shared" si="47"/>
        <v>44041</v>
      </c>
      <c r="Q551" s="937">
        <f t="shared" si="48"/>
        <v>44041</v>
      </c>
      <c r="R551" s="1034" t="s">
        <v>4223</v>
      </c>
      <c r="S551" s="1203" t="s">
        <v>2885</v>
      </c>
      <c r="T551" s="1564"/>
      <c r="U551" s="936"/>
    </row>
    <row r="552" spans="1:21" ht="50.25" customHeight="1">
      <c r="A552" s="936" t="s">
        <v>2479</v>
      </c>
      <c r="B552" s="937">
        <v>44041</v>
      </c>
      <c r="C552" s="936">
        <v>6</v>
      </c>
      <c r="D552" s="936">
        <v>4</v>
      </c>
      <c r="E552" s="945" t="s">
        <v>2829</v>
      </c>
      <c r="F552" s="936">
        <v>12</v>
      </c>
      <c r="G552" s="1035" t="s">
        <v>3106</v>
      </c>
      <c r="H552" s="939"/>
      <c r="I552" s="939" t="s">
        <v>550</v>
      </c>
      <c r="J552" s="939"/>
      <c r="K552" s="5">
        <v>43990</v>
      </c>
      <c r="L552" s="5">
        <v>44057</v>
      </c>
      <c r="M552" s="1202" t="s">
        <v>3107</v>
      </c>
      <c r="N552" s="1035" t="s">
        <v>2483</v>
      </c>
      <c r="O552" s="939" t="s">
        <v>76</v>
      </c>
      <c r="P552" s="937">
        <f t="shared" si="47"/>
        <v>44041</v>
      </c>
      <c r="Q552" s="937">
        <f t="shared" si="48"/>
        <v>44041</v>
      </c>
      <c r="R552" s="1034" t="s">
        <v>4223</v>
      </c>
      <c r="S552" s="941"/>
      <c r="T552" s="1564"/>
      <c r="U552" s="936"/>
    </row>
    <row r="553" spans="1:21" ht="38.25">
      <c r="A553" s="936" t="s">
        <v>2479</v>
      </c>
      <c r="B553" s="937">
        <v>44041</v>
      </c>
      <c r="C553" s="936">
        <v>6</v>
      </c>
      <c r="D553" s="936">
        <v>4</v>
      </c>
      <c r="E553" s="945" t="s">
        <v>2829</v>
      </c>
      <c r="F553" s="936">
        <v>13</v>
      </c>
      <c r="G553" s="1035" t="s">
        <v>3109</v>
      </c>
      <c r="H553" s="939"/>
      <c r="I553" s="939" t="s">
        <v>550</v>
      </c>
      <c r="J553" s="939"/>
      <c r="K553" s="5">
        <v>43990</v>
      </c>
      <c r="L553" s="5">
        <v>44057</v>
      </c>
      <c r="M553" s="1035" t="s">
        <v>3107</v>
      </c>
      <c r="N553" s="1035" t="s">
        <v>2483</v>
      </c>
      <c r="O553" s="939" t="s">
        <v>76</v>
      </c>
      <c r="P553" s="937">
        <f t="shared" si="47"/>
        <v>44041</v>
      </c>
      <c r="Q553" s="937">
        <f t="shared" si="48"/>
        <v>44041</v>
      </c>
      <c r="R553" s="1034" t="s">
        <v>4223</v>
      </c>
      <c r="S553" s="941"/>
      <c r="T553" s="1564"/>
      <c r="U553" s="936"/>
    </row>
    <row r="554" spans="1:21" ht="38.25">
      <c r="A554" s="936" t="s">
        <v>2479</v>
      </c>
      <c r="B554" s="937">
        <v>44041</v>
      </c>
      <c r="C554" s="936">
        <v>6</v>
      </c>
      <c r="D554" s="936">
        <v>4</v>
      </c>
      <c r="E554" s="945" t="s">
        <v>2829</v>
      </c>
      <c r="F554" s="936">
        <v>14</v>
      </c>
      <c r="G554" s="1035" t="s">
        <v>3108</v>
      </c>
      <c r="H554" s="939"/>
      <c r="I554" s="939" t="s">
        <v>550</v>
      </c>
      <c r="J554" s="939"/>
      <c r="K554" s="5">
        <v>43990</v>
      </c>
      <c r="L554" s="5">
        <v>44057</v>
      </c>
      <c r="M554" s="1035" t="s">
        <v>3107</v>
      </c>
      <c r="N554" s="1035" t="s">
        <v>2483</v>
      </c>
      <c r="O554" s="939" t="s">
        <v>76</v>
      </c>
      <c r="P554" s="937">
        <f t="shared" si="47"/>
        <v>44041</v>
      </c>
      <c r="Q554" s="937">
        <f t="shared" si="48"/>
        <v>44041</v>
      </c>
      <c r="R554" s="1034" t="s">
        <v>4223</v>
      </c>
      <c r="S554" s="941"/>
      <c r="T554" s="1564"/>
      <c r="U554" s="936"/>
    </row>
    <row r="555" spans="1:21" ht="51" customHeight="1">
      <c r="A555" s="936" t="s">
        <v>2479</v>
      </c>
      <c r="B555" s="937">
        <v>44041</v>
      </c>
      <c r="C555" s="936">
        <v>6</v>
      </c>
      <c r="D555" s="936">
        <v>4</v>
      </c>
      <c r="E555" s="945" t="s">
        <v>2829</v>
      </c>
      <c r="F555" s="936">
        <v>15</v>
      </c>
      <c r="G555" s="1035" t="s">
        <v>3112</v>
      </c>
      <c r="H555" s="939"/>
      <c r="I555" s="939" t="s">
        <v>550</v>
      </c>
      <c r="J555" s="939"/>
      <c r="K555" s="939"/>
      <c r="L555" s="939"/>
      <c r="M555" s="1035" t="s">
        <v>3113</v>
      </c>
      <c r="N555" s="1035" t="s">
        <v>2483</v>
      </c>
      <c r="O555" s="939" t="s">
        <v>76</v>
      </c>
      <c r="P555" s="937">
        <f t="shared" si="47"/>
        <v>44041</v>
      </c>
      <c r="Q555" s="937">
        <f t="shared" si="48"/>
        <v>44041</v>
      </c>
      <c r="R555" s="1034" t="s">
        <v>4223</v>
      </c>
      <c r="S555" s="941"/>
      <c r="T555" s="1564"/>
      <c r="U555" s="936"/>
    </row>
    <row r="556" spans="1:21" ht="38.25">
      <c r="A556" s="936" t="s">
        <v>2479</v>
      </c>
      <c r="B556" s="937">
        <v>44041</v>
      </c>
      <c r="C556" s="936">
        <v>6</v>
      </c>
      <c r="D556" s="936">
        <v>4</v>
      </c>
      <c r="E556" s="945" t="s">
        <v>2831</v>
      </c>
      <c r="F556" s="936">
        <v>16</v>
      </c>
      <c r="G556" s="1035" t="s">
        <v>3114</v>
      </c>
      <c r="H556" s="939"/>
      <c r="I556" s="939" t="s">
        <v>550</v>
      </c>
      <c r="J556" s="939"/>
      <c r="K556" s="5">
        <v>44000</v>
      </c>
      <c r="L556" s="5">
        <v>44030</v>
      </c>
      <c r="M556" s="1202" t="s">
        <v>3113</v>
      </c>
      <c r="N556" s="1035" t="s">
        <v>2483</v>
      </c>
      <c r="O556" s="939" t="s">
        <v>76</v>
      </c>
      <c r="P556" s="937">
        <f t="shared" si="47"/>
        <v>44041</v>
      </c>
      <c r="Q556" s="937">
        <f t="shared" si="48"/>
        <v>44041</v>
      </c>
      <c r="R556" s="1034" t="s">
        <v>4223</v>
      </c>
      <c r="S556" s="941"/>
      <c r="T556" s="1564"/>
      <c r="U556" s="936"/>
    </row>
    <row r="557" spans="1:21" ht="27.75" customHeight="1">
      <c r="A557" s="936" t="s">
        <v>2479</v>
      </c>
      <c r="B557" s="937">
        <v>44041</v>
      </c>
      <c r="C557" s="936">
        <v>6</v>
      </c>
      <c r="D557" s="936">
        <v>4</v>
      </c>
      <c r="E557" s="936"/>
      <c r="F557" s="936">
        <v>17</v>
      </c>
      <c r="G557" s="1035" t="s">
        <v>3115</v>
      </c>
      <c r="H557" s="939"/>
      <c r="I557" s="939"/>
      <c r="J557" s="939"/>
      <c r="K557" s="939"/>
      <c r="L557" s="939"/>
      <c r="M557" s="1035" t="s">
        <v>3077</v>
      </c>
      <c r="N557" s="1035" t="s">
        <v>2483</v>
      </c>
      <c r="O557" s="939" t="s">
        <v>76</v>
      </c>
      <c r="P557" s="937">
        <f t="shared" si="47"/>
        <v>44041</v>
      </c>
      <c r="Q557" s="937">
        <f t="shared" si="48"/>
        <v>44041</v>
      </c>
      <c r="R557" s="1034" t="s">
        <v>4223</v>
      </c>
      <c r="S557" s="941"/>
      <c r="T557" s="1564"/>
      <c r="U557" s="936"/>
    </row>
    <row r="558" spans="1:21" ht="38.25">
      <c r="A558" s="936" t="s">
        <v>2479</v>
      </c>
      <c r="B558" s="937">
        <v>44041</v>
      </c>
      <c r="C558" s="936">
        <v>6</v>
      </c>
      <c r="D558" s="936">
        <v>4</v>
      </c>
      <c r="E558" s="936"/>
      <c r="F558" s="936">
        <v>18</v>
      </c>
      <c r="G558" s="1035" t="s">
        <v>3116</v>
      </c>
      <c r="H558" s="939"/>
      <c r="I558" s="939" t="s">
        <v>2313</v>
      </c>
      <c r="J558" s="939"/>
      <c r="K558" s="939"/>
      <c r="L558" s="939"/>
      <c r="M558" s="1035" t="s">
        <v>3117</v>
      </c>
      <c r="N558" s="1035" t="s">
        <v>2483</v>
      </c>
      <c r="O558" s="939" t="s">
        <v>76</v>
      </c>
      <c r="P558" s="937">
        <f t="shared" si="47"/>
        <v>44041</v>
      </c>
      <c r="Q558" s="937">
        <f t="shared" si="48"/>
        <v>44041</v>
      </c>
      <c r="R558" s="1034" t="s">
        <v>4223</v>
      </c>
      <c r="S558" s="941"/>
      <c r="T558" s="1564"/>
      <c r="U558" s="936"/>
    </row>
    <row r="559" spans="1:21" ht="38.25">
      <c r="A559" s="936" t="s">
        <v>2479</v>
      </c>
      <c r="B559" s="937">
        <v>44041</v>
      </c>
      <c r="C559" s="936">
        <v>6</v>
      </c>
      <c r="D559" s="936">
        <v>4</v>
      </c>
      <c r="E559" s="936"/>
      <c r="F559" s="936">
        <v>19</v>
      </c>
      <c r="G559" s="1035" t="s">
        <v>3118</v>
      </c>
      <c r="H559" s="939"/>
      <c r="I559" s="939" t="s">
        <v>2313</v>
      </c>
      <c r="J559" s="939"/>
      <c r="K559" s="939"/>
      <c r="L559" s="939"/>
      <c r="M559" s="1035" t="s">
        <v>3117</v>
      </c>
      <c r="N559" s="1035" t="s">
        <v>2483</v>
      </c>
      <c r="O559" s="939" t="s">
        <v>76</v>
      </c>
      <c r="P559" s="937">
        <f t="shared" si="47"/>
        <v>44041</v>
      </c>
      <c r="Q559" s="937">
        <f t="shared" si="48"/>
        <v>44041</v>
      </c>
      <c r="R559" s="1034" t="s">
        <v>4223</v>
      </c>
      <c r="S559" s="941"/>
      <c r="T559" s="1564"/>
      <c r="U559" s="936"/>
    </row>
    <row r="560" spans="1:21" ht="38.25">
      <c r="A560" s="936" t="s">
        <v>2479</v>
      </c>
      <c r="B560" s="937">
        <v>44041</v>
      </c>
      <c r="C560" s="936">
        <v>6</v>
      </c>
      <c r="D560" s="936">
        <v>4</v>
      </c>
      <c r="E560" s="936"/>
      <c r="F560" s="936">
        <v>20</v>
      </c>
      <c r="G560" s="1035" t="s">
        <v>3119</v>
      </c>
      <c r="H560" s="939"/>
      <c r="I560" s="939" t="s">
        <v>2313</v>
      </c>
      <c r="J560" s="939"/>
      <c r="K560" s="939"/>
      <c r="L560" s="939"/>
      <c r="M560" s="1035" t="s">
        <v>3117</v>
      </c>
      <c r="N560" s="1035" t="s">
        <v>2483</v>
      </c>
      <c r="O560" s="939" t="s">
        <v>76</v>
      </c>
      <c r="P560" s="937">
        <f t="shared" si="47"/>
        <v>44041</v>
      </c>
      <c r="Q560" s="937">
        <f t="shared" si="48"/>
        <v>44041</v>
      </c>
      <c r="R560" s="1034" t="s">
        <v>4223</v>
      </c>
      <c r="S560" s="941"/>
      <c r="T560" s="1564"/>
      <c r="U560" s="936"/>
    </row>
    <row r="561" spans="1:21" ht="52.5" customHeight="1">
      <c r="A561" s="936" t="s">
        <v>2479</v>
      </c>
      <c r="B561" s="937">
        <v>44041</v>
      </c>
      <c r="C561" s="936">
        <v>6</v>
      </c>
      <c r="D561" s="936">
        <v>4</v>
      </c>
      <c r="E561" s="936"/>
      <c r="F561" s="936">
        <v>21</v>
      </c>
      <c r="G561" s="1035" t="s">
        <v>3120</v>
      </c>
      <c r="H561" s="939"/>
      <c r="I561" s="939"/>
      <c r="J561" s="939"/>
      <c r="K561" s="939"/>
      <c r="L561" s="939"/>
      <c r="M561" s="1035" t="s">
        <v>3121</v>
      </c>
      <c r="N561" s="1035" t="s">
        <v>2483</v>
      </c>
      <c r="O561" s="939" t="s">
        <v>76</v>
      </c>
      <c r="P561" s="937">
        <f t="shared" si="47"/>
        <v>44041</v>
      </c>
      <c r="Q561" s="937">
        <f t="shared" si="48"/>
        <v>44041</v>
      </c>
      <c r="R561" s="1034" t="s">
        <v>4223</v>
      </c>
      <c r="S561" s="941"/>
      <c r="T561" s="1564"/>
      <c r="U561" s="936"/>
    </row>
    <row r="562" spans="1:21" ht="38.25">
      <c r="A562" s="936" t="s">
        <v>2479</v>
      </c>
      <c r="B562" s="937">
        <v>44041</v>
      </c>
      <c r="C562" s="936">
        <v>6</v>
      </c>
      <c r="D562" s="936">
        <v>4</v>
      </c>
      <c r="E562" s="936"/>
      <c r="F562" s="936">
        <v>22</v>
      </c>
      <c r="G562" s="1035" t="s">
        <v>3123</v>
      </c>
      <c r="H562" s="939"/>
      <c r="I562" s="939"/>
      <c r="J562" s="939"/>
      <c r="K562" s="939"/>
      <c r="L562" s="939"/>
      <c r="M562" s="1035" t="s">
        <v>3122</v>
      </c>
      <c r="N562" s="1035" t="s">
        <v>2483</v>
      </c>
      <c r="O562" s="939" t="s">
        <v>76</v>
      </c>
      <c r="P562" s="937">
        <f t="shared" si="47"/>
        <v>44041</v>
      </c>
      <c r="Q562" s="937">
        <f t="shared" si="48"/>
        <v>44041</v>
      </c>
      <c r="R562" s="1034" t="s">
        <v>4223</v>
      </c>
      <c r="S562" s="941"/>
      <c r="T562" s="1564"/>
      <c r="U562" s="936"/>
    </row>
    <row r="563" spans="1:21" ht="38.25">
      <c r="A563" s="936" t="s">
        <v>2479</v>
      </c>
      <c r="B563" s="937">
        <v>44041</v>
      </c>
      <c r="C563" s="936">
        <v>6</v>
      </c>
      <c r="D563" s="936">
        <v>4</v>
      </c>
      <c r="E563" s="936"/>
      <c r="F563" s="936">
        <v>23</v>
      </c>
      <c r="G563" s="1035" t="s">
        <v>3124</v>
      </c>
      <c r="H563" s="939"/>
      <c r="I563" s="939"/>
      <c r="J563" s="939"/>
      <c r="K563" s="939"/>
      <c r="L563" s="939"/>
      <c r="M563" s="1035" t="s">
        <v>3122</v>
      </c>
      <c r="N563" s="1035" t="s">
        <v>2483</v>
      </c>
      <c r="O563" s="939" t="s">
        <v>76</v>
      </c>
      <c r="P563" s="937">
        <f t="shared" si="47"/>
        <v>44041</v>
      </c>
      <c r="Q563" s="937">
        <f t="shared" si="48"/>
        <v>44041</v>
      </c>
      <c r="R563" s="1034" t="s">
        <v>4223</v>
      </c>
      <c r="S563" s="941"/>
      <c r="T563" s="1564"/>
      <c r="U563" s="936"/>
    </row>
    <row r="564" spans="1:21" ht="38.25">
      <c r="A564" s="936" t="s">
        <v>2479</v>
      </c>
      <c r="B564" s="937">
        <v>44041</v>
      </c>
      <c r="C564" s="936">
        <v>6</v>
      </c>
      <c r="D564" s="936">
        <v>4</v>
      </c>
      <c r="E564" s="936"/>
      <c r="F564" s="936">
        <v>24</v>
      </c>
      <c r="G564" s="1035" t="s">
        <v>3125</v>
      </c>
      <c r="H564" s="939"/>
      <c r="I564" s="939"/>
      <c r="J564" s="939"/>
      <c r="K564" s="939"/>
      <c r="L564" s="939"/>
      <c r="M564" s="1035" t="s">
        <v>3122</v>
      </c>
      <c r="N564" s="1035" t="s">
        <v>2483</v>
      </c>
      <c r="O564" s="939" t="s">
        <v>76</v>
      </c>
      <c r="P564" s="937">
        <f t="shared" si="47"/>
        <v>44041</v>
      </c>
      <c r="Q564" s="937">
        <f t="shared" si="48"/>
        <v>44041</v>
      </c>
      <c r="R564" s="1034" t="s">
        <v>4223</v>
      </c>
      <c r="S564" s="941"/>
      <c r="T564" s="1564"/>
      <c r="U564" s="936"/>
    </row>
    <row r="565" spans="1:21" ht="41.25" customHeight="1">
      <c r="A565" s="936" t="s">
        <v>2479</v>
      </c>
      <c r="B565" s="937">
        <v>44041</v>
      </c>
      <c r="C565" s="936">
        <v>6</v>
      </c>
      <c r="D565" s="936">
        <v>4</v>
      </c>
      <c r="E565" s="936"/>
      <c r="F565" s="936">
        <v>25</v>
      </c>
      <c r="G565" s="1035" t="s">
        <v>3126</v>
      </c>
      <c r="H565" s="939"/>
      <c r="I565" s="939"/>
      <c r="J565" s="939"/>
      <c r="K565" s="939"/>
      <c r="L565" s="939"/>
      <c r="M565" s="1035" t="s">
        <v>3127</v>
      </c>
      <c r="N565" s="1035" t="s">
        <v>2483</v>
      </c>
      <c r="O565" s="939" t="s">
        <v>76</v>
      </c>
      <c r="P565" s="937">
        <f t="shared" si="47"/>
        <v>44041</v>
      </c>
      <c r="Q565" s="937">
        <f t="shared" si="48"/>
        <v>44041</v>
      </c>
      <c r="R565" s="1034" t="s">
        <v>4223</v>
      </c>
      <c r="S565" s="941"/>
      <c r="T565" s="1564"/>
      <c r="U565" s="936"/>
    </row>
    <row r="566" spans="1:21" ht="53.25" customHeight="1">
      <c r="A566" s="936" t="s">
        <v>2479</v>
      </c>
      <c r="B566" s="937">
        <v>44041</v>
      </c>
      <c r="C566" s="936">
        <v>6</v>
      </c>
      <c r="D566" s="936">
        <v>4</v>
      </c>
      <c r="E566" s="945" t="s">
        <v>2738</v>
      </c>
      <c r="F566" s="936">
        <v>26</v>
      </c>
      <c r="G566" s="1035" t="s">
        <v>3130</v>
      </c>
      <c r="H566" s="1201" t="s">
        <v>3128</v>
      </c>
      <c r="I566" s="939" t="s">
        <v>550</v>
      </c>
      <c r="J566" s="1752"/>
      <c r="K566" s="176">
        <v>43937</v>
      </c>
      <c r="L566" s="5">
        <v>43958</v>
      </c>
      <c r="M566" s="1202" t="s">
        <v>3129</v>
      </c>
      <c r="N566" s="1035" t="s">
        <v>2541</v>
      </c>
      <c r="O566" s="939" t="s">
        <v>76</v>
      </c>
      <c r="P566" s="937">
        <f t="shared" si="47"/>
        <v>44041</v>
      </c>
      <c r="Q566" s="937">
        <f t="shared" si="48"/>
        <v>44041</v>
      </c>
      <c r="R566" s="1034" t="s">
        <v>4223</v>
      </c>
      <c r="S566" s="941"/>
      <c r="T566" s="1564"/>
      <c r="U566" s="936"/>
    </row>
    <row r="567" spans="1:21" ht="25.5">
      <c r="A567" s="936" t="s">
        <v>2479</v>
      </c>
      <c r="B567" s="937">
        <v>44041</v>
      </c>
      <c r="C567" s="936">
        <v>6</v>
      </c>
      <c r="D567" s="936">
        <v>4</v>
      </c>
      <c r="E567" s="945" t="s">
        <v>2746</v>
      </c>
      <c r="F567" s="936">
        <v>27</v>
      </c>
      <c r="G567" s="1035" t="s">
        <v>3131</v>
      </c>
      <c r="H567" s="1201" t="s">
        <v>3132</v>
      </c>
      <c r="I567" s="939" t="s">
        <v>550</v>
      </c>
      <c r="J567" s="1752"/>
      <c r="K567" s="176">
        <v>43976</v>
      </c>
      <c r="L567" s="5">
        <v>43983</v>
      </c>
      <c r="M567" s="1202" t="s">
        <v>3129</v>
      </c>
      <c r="N567" s="1035" t="s">
        <v>2541</v>
      </c>
      <c r="O567" s="939" t="s">
        <v>76</v>
      </c>
      <c r="P567" s="937">
        <f t="shared" si="47"/>
        <v>44041</v>
      </c>
      <c r="Q567" s="937">
        <f t="shared" si="48"/>
        <v>44041</v>
      </c>
      <c r="R567" s="1034" t="s">
        <v>4223</v>
      </c>
      <c r="S567" s="941"/>
      <c r="T567" s="1564"/>
      <c r="U567" s="936"/>
    </row>
    <row r="568" spans="1:21" ht="38.25">
      <c r="A568" s="936" t="s">
        <v>2479</v>
      </c>
      <c r="B568" s="937">
        <v>44041</v>
      </c>
      <c r="C568" s="936">
        <v>6</v>
      </c>
      <c r="D568" s="936">
        <v>4</v>
      </c>
      <c r="E568" s="945" t="s">
        <v>2744</v>
      </c>
      <c r="F568" s="936">
        <v>28</v>
      </c>
      <c r="G568" s="1035" t="s">
        <v>3133</v>
      </c>
      <c r="H568" s="939"/>
      <c r="I568" s="939" t="s">
        <v>550</v>
      </c>
      <c r="J568" s="939"/>
      <c r="K568" s="5">
        <v>43984</v>
      </c>
      <c r="L568" s="5">
        <v>44037</v>
      </c>
      <c r="M568" s="1202" t="s">
        <v>3134</v>
      </c>
      <c r="N568" s="1035" t="s">
        <v>2541</v>
      </c>
      <c r="O568" s="939" t="s">
        <v>76</v>
      </c>
      <c r="P568" s="937">
        <f t="shared" si="47"/>
        <v>44041</v>
      </c>
      <c r="Q568" s="937">
        <f t="shared" si="48"/>
        <v>44041</v>
      </c>
      <c r="R568" s="1034" t="s">
        <v>4223</v>
      </c>
      <c r="S568" s="941"/>
      <c r="T568" s="1564"/>
      <c r="U568" s="936"/>
    </row>
    <row r="569" spans="1:21" ht="25.5">
      <c r="A569" s="936" t="s">
        <v>2479</v>
      </c>
      <c r="B569" s="937">
        <v>44041</v>
      </c>
      <c r="C569" s="936">
        <v>6</v>
      </c>
      <c r="D569" s="936">
        <v>4</v>
      </c>
      <c r="E569" s="936"/>
      <c r="F569" s="936">
        <v>29</v>
      </c>
      <c r="G569" s="1035" t="s">
        <v>3135</v>
      </c>
      <c r="H569" s="939"/>
      <c r="I569" s="939"/>
      <c r="J569" s="939"/>
      <c r="K569" s="939"/>
      <c r="L569" s="939"/>
      <c r="M569" s="1035" t="s">
        <v>3136</v>
      </c>
      <c r="N569" s="1035" t="s">
        <v>2541</v>
      </c>
      <c r="O569" s="939" t="s">
        <v>76</v>
      </c>
      <c r="P569" s="937">
        <f t="shared" si="47"/>
        <v>44041</v>
      </c>
      <c r="Q569" s="937">
        <f t="shared" si="48"/>
        <v>44041</v>
      </c>
      <c r="R569" s="1034" t="s">
        <v>4223</v>
      </c>
      <c r="S569" s="941"/>
      <c r="T569" s="1564"/>
      <c r="U569" s="936"/>
    </row>
    <row r="570" spans="1:21" ht="38.25">
      <c r="A570" s="936" t="s">
        <v>2479</v>
      </c>
      <c r="B570" s="937">
        <v>44041</v>
      </c>
      <c r="C570" s="936">
        <v>6</v>
      </c>
      <c r="D570" s="936">
        <v>4</v>
      </c>
      <c r="E570" s="945" t="s">
        <v>2927</v>
      </c>
      <c r="F570" s="936">
        <v>30</v>
      </c>
      <c r="G570" s="1035" t="s">
        <v>3137</v>
      </c>
      <c r="H570" s="936" t="s">
        <v>3138</v>
      </c>
      <c r="I570" s="939" t="s">
        <v>550</v>
      </c>
      <c r="J570" s="939"/>
      <c r="K570" s="5">
        <v>44032</v>
      </c>
      <c r="L570" s="5">
        <v>44089</v>
      </c>
      <c r="M570" s="1202" t="s">
        <v>3139</v>
      </c>
      <c r="N570" s="1035" t="s">
        <v>2541</v>
      </c>
      <c r="O570" s="939" t="s">
        <v>76</v>
      </c>
      <c r="P570" s="937">
        <f t="shared" si="47"/>
        <v>44041</v>
      </c>
      <c r="Q570" s="937">
        <f t="shared" si="48"/>
        <v>44041</v>
      </c>
      <c r="R570" s="1034" t="s">
        <v>4223</v>
      </c>
      <c r="S570" s="941"/>
      <c r="T570" s="1564"/>
      <c r="U570" s="936"/>
    </row>
    <row r="571" spans="1:21" ht="51" customHeight="1">
      <c r="A571" s="936" t="s">
        <v>2479</v>
      </c>
      <c r="B571" s="937">
        <v>44041</v>
      </c>
      <c r="C571" s="936">
        <v>6</v>
      </c>
      <c r="D571" s="936">
        <v>4</v>
      </c>
      <c r="E571" s="945" t="s">
        <v>3013</v>
      </c>
      <c r="F571" s="936">
        <v>31</v>
      </c>
      <c r="G571" s="1035" t="s">
        <v>3140</v>
      </c>
      <c r="H571" s="936" t="s">
        <v>3138</v>
      </c>
      <c r="I571" s="939" t="s">
        <v>550</v>
      </c>
      <c r="J571" s="939"/>
      <c r="K571" s="5">
        <v>44032</v>
      </c>
      <c r="L571" s="5">
        <v>44089</v>
      </c>
      <c r="M571" s="1202" t="s">
        <v>3139</v>
      </c>
      <c r="N571" s="1035" t="s">
        <v>2541</v>
      </c>
      <c r="O571" s="939" t="s">
        <v>76</v>
      </c>
      <c r="P571" s="937">
        <f t="shared" si="47"/>
        <v>44041</v>
      </c>
      <c r="Q571" s="937">
        <f t="shared" si="48"/>
        <v>44041</v>
      </c>
      <c r="R571" s="1034" t="s">
        <v>4223</v>
      </c>
      <c r="S571" s="941"/>
      <c r="T571" s="1564"/>
      <c r="U571" s="936"/>
    </row>
    <row r="572" spans="1:21" ht="32.25" customHeight="1">
      <c r="A572" s="936" t="s">
        <v>2479</v>
      </c>
      <c r="B572" s="937">
        <v>44041</v>
      </c>
      <c r="C572" s="936">
        <v>6</v>
      </c>
      <c r="D572" s="936">
        <v>5</v>
      </c>
      <c r="E572" s="945" t="s">
        <v>3013</v>
      </c>
      <c r="F572" s="936">
        <v>32</v>
      </c>
      <c r="G572" s="1035" t="s">
        <v>3141</v>
      </c>
      <c r="H572" s="936" t="s">
        <v>3138</v>
      </c>
      <c r="I572" s="939" t="s">
        <v>550</v>
      </c>
      <c r="J572" s="939"/>
      <c r="K572" s="5">
        <v>44032</v>
      </c>
      <c r="L572" s="5">
        <v>44089</v>
      </c>
      <c r="M572" s="1035" t="s">
        <v>3139</v>
      </c>
      <c r="N572" s="1035" t="s">
        <v>2541</v>
      </c>
      <c r="O572" s="939" t="s">
        <v>76</v>
      </c>
      <c r="P572" s="937">
        <f t="shared" si="47"/>
        <v>44041</v>
      </c>
      <c r="Q572" s="937">
        <f t="shared" si="48"/>
        <v>44041</v>
      </c>
      <c r="R572" s="1034" t="s">
        <v>4223</v>
      </c>
      <c r="S572" s="941"/>
      <c r="T572" s="1564"/>
      <c r="U572" s="936"/>
    </row>
    <row r="573" spans="1:21" ht="18" customHeight="1">
      <c r="A573" s="936" t="s">
        <v>2479</v>
      </c>
      <c r="B573" s="937">
        <v>44041</v>
      </c>
      <c r="C573" s="936">
        <v>6</v>
      </c>
      <c r="D573" s="936">
        <v>5</v>
      </c>
      <c r="E573" s="936"/>
      <c r="F573" s="936">
        <v>33</v>
      </c>
      <c r="G573" s="1035" t="s">
        <v>3142</v>
      </c>
      <c r="H573" s="936" t="s">
        <v>3138</v>
      </c>
      <c r="I573" s="939" t="s">
        <v>550</v>
      </c>
      <c r="J573" s="939"/>
      <c r="K573" s="939"/>
      <c r="L573" s="939"/>
      <c r="M573" s="1035" t="s">
        <v>3139</v>
      </c>
      <c r="N573" s="1035" t="s">
        <v>2541</v>
      </c>
      <c r="O573" s="939" t="s">
        <v>76</v>
      </c>
      <c r="P573" s="937">
        <f t="shared" si="47"/>
        <v>44041</v>
      </c>
      <c r="Q573" s="937">
        <f t="shared" si="48"/>
        <v>44041</v>
      </c>
      <c r="R573" s="1034" t="s">
        <v>4223</v>
      </c>
      <c r="S573" s="941"/>
      <c r="T573" s="1564"/>
      <c r="U573" s="936"/>
    </row>
    <row r="574" spans="1:21" ht="25.5">
      <c r="A574" s="936" t="s">
        <v>2479</v>
      </c>
      <c r="B574" s="937">
        <v>44041</v>
      </c>
      <c r="C574" s="936">
        <v>6</v>
      </c>
      <c r="D574" s="936">
        <v>5</v>
      </c>
      <c r="E574" s="945" t="s">
        <v>2926</v>
      </c>
      <c r="F574" s="936">
        <v>34</v>
      </c>
      <c r="G574" s="1035" t="s">
        <v>3143</v>
      </c>
      <c r="H574" s="939"/>
      <c r="I574" s="939" t="s">
        <v>550</v>
      </c>
      <c r="J574" s="939"/>
      <c r="K574" s="5">
        <v>44032</v>
      </c>
      <c r="L574" s="5">
        <v>44051</v>
      </c>
      <c r="M574" s="1202" t="s">
        <v>3144</v>
      </c>
      <c r="N574" s="1035" t="s">
        <v>2483</v>
      </c>
      <c r="O574" s="939" t="s">
        <v>76</v>
      </c>
      <c r="P574" s="937">
        <f t="shared" si="47"/>
        <v>44041</v>
      </c>
      <c r="Q574" s="937">
        <f t="shared" si="48"/>
        <v>44041</v>
      </c>
      <c r="R574" s="1034" t="s">
        <v>4223</v>
      </c>
      <c r="S574" s="941"/>
      <c r="T574" s="1564"/>
      <c r="U574" s="936"/>
    </row>
    <row r="575" spans="1:21" ht="38.25">
      <c r="A575" s="936" t="s">
        <v>2479</v>
      </c>
      <c r="B575" s="937">
        <v>44041</v>
      </c>
      <c r="C575" s="936">
        <v>6</v>
      </c>
      <c r="D575" s="936">
        <v>5</v>
      </c>
      <c r="E575" s="936"/>
      <c r="F575" s="936">
        <v>35</v>
      </c>
      <c r="G575" s="1035" t="s">
        <v>3145</v>
      </c>
      <c r="H575" s="939"/>
      <c r="I575" s="939"/>
      <c r="J575" s="939"/>
      <c r="K575" s="939"/>
      <c r="L575" s="939"/>
      <c r="M575" s="1035" t="s">
        <v>3146</v>
      </c>
      <c r="N575" s="1035" t="s">
        <v>2515</v>
      </c>
      <c r="O575" s="939" t="s">
        <v>76</v>
      </c>
      <c r="P575" s="937">
        <f t="shared" si="47"/>
        <v>44041</v>
      </c>
      <c r="Q575" s="937">
        <f t="shared" si="48"/>
        <v>44041</v>
      </c>
      <c r="R575" s="1034" t="s">
        <v>4223</v>
      </c>
      <c r="S575" s="941"/>
      <c r="T575" s="1564"/>
      <c r="U575" s="936"/>
    </row>
    <row r="576" spans="1:21" ht="25.5">
      <c r="A576" s="936" t="s">
        <v>2479</v>
      </c>
      <c r="B576" s="937">
        <v>44041</v>
      </c>
      <c r="C576" s="936">
        <v>6</v>
      </c>
      <c r="D576" s="936">
        <v>5</v>
      </c>
      <c r="E576" s="936"/>
      <c r="F576" s="936">
        <v>36</v>
      </c>
      <c r="G576" s="1035" t="s">
        <v>3147</v>
      </c>
      <c r="H576" s="939"/>
      <c r="I576" s="939"/>
      <c r="J576" s="939"/>
      <c r="K576" s="939"/>
      <c r="L576" s="939"/>
      <c r="M576" s="1035" t="s">
        <v>3146</v>
      </c>
      <c r="N576" s="1035" t="s">
        <v>2515</v>
      </c>
      <c r="O576" s="939" t="s">
        <v>76</v>
      </c>
      <c r="P576" s="937">
        <f t="shared" si="47"/>
        <v>44041</v>
      </c>
      <c r="Q576" s="937">
        <f t="shared" si="48"/>
        <v>44041</v>
      </c>
      <c r="R576" s="1034" t="s">
        <v>4223</v>
      </c>
      <c r="S576" s="941"/>
      <c r="T576" s="1564"/>
      <c r="U576" s="936"/>
    </row>
    <row r="577" spans="1:21" ht="38.25">
      <c r="A577" s="936" t="s">
        <v>2479</v>
      </c>
      <c r="B577" s="937">
        <v>44041</v>
      </c>
      <c r="C577" s="936">
        <v>6</v>
      </c>
      <c r="D577" s="936">
        <v>5</v>
      </c>
      <c r="E577" s="945" t="s">
        <v>2739</v>
      </c>
      <c r="F577" s="936">
        <v>37</v>
      </c>
      <c r="G577" s="1035" t="s">
        <v>3148</v>
      </c>
      <c r="H577" s="939"/>
      <c r="I577" s="939" t="s">
        <v>550</v>
      </c>
      <c r="J577" s="939"/>
      <c r="K577" s="5">
        <v>43949</v>
      </c>
      <c r="L577" s="5">
        <v>43980</v>
      </c>
      <c r="M577" s="1202" t="s">
        <v>3149</v>
      </c>
      <c r="N577" s="1035" t="s">
        <v>2580</v>
      </c>
      <c r="O577" s="939" t="s">
        <v>76</v>
      </c>
      <c r="P577" s="937">
        <f t="shared" si="47"/>
        <v>44041</v>
      </c>
      <c r="Q577" s="937">
        <f t="shared" si="48"/>
        <v>44041</v>
      </c>
      <c r="R577" s="1034" t="s">
        <v>4223</v>
      </c>
      <c r="S577" s="1204" t="s">
        <v>2842</v>
      </c>
      <c r="T577" s="1565"/>
      <c r="U577" s="936"/>
    </row>
    <row r="578" spans="1:21" ht="39.75" customHeight="1">
      <c r="A578" s="936" t="s">
        <v>2479</v>
      </c>
      <c r="B578" s="937">
        <v>44041</v>
      </c>
      <c r="C578" s="936">
        <v>6</v>
      </c>
      <c r="D578" s="936">
        <v>5</v>
      </c>
      <c r="E578" s="945" t="s">
        <v>2741</v>
      </c>
      <c r="F578" s="936">
        <v>38</v>
      </c>
      <c r="G578" s="1035" t="s">
        <v>3150</v>
      </c>
      <c r="H578" s="939"/>
      <c r="I578" s="939" t="s">
        <v>550</v>
      </c>
      <c r="J578" s="939"/>
      <c r="K578" s="5">
        <v>43949</v>
      </c>
      <c r="L578" s="5">
        <v>43980</v>
      </c>
      <c r="M578" s="1202" t="s">
        <v>3149</v>
      </c>
      <c r="N578" s="1035" t="s">
        <v>2580</v>
      </c>
      <c r="O578" s="939" t="s">
        <v>76</v>
      </c>
      <c r="P578" s="937">
        <f t="shared" si="47"/>
        <v>44041</v>
      </c>
      <c r="Q578" s="937">
        <f t="shared" si="48"/>
        <v>44041</v>
      </c>
      <c r="R578" s="1034" t="s">
        <v>4223</v>
      </c>
      <c r="S578" s="1203" t="s">
        <v>2883</v>
      </c>
      <c r="T578" s="1564"/>
      <c r="U578" s="936"/>
    </row>
    <row r="579" spans="1:21" ht="39.75" customHeight="1">
      <c r="A579" s="936" t="s">
        <v>2479</v>
      </c>
      <c r="B579" s="937">
        <v>44041</v>
      </c>
      <c r="C579" s="936">
        <v>6</v>
      </c>
      <c r="D579" s="936">
        <v>5</v>
      </c>
      <c r="E579" s="936"/>
      <c r="F579" s="936">
        <v>39</v>
      </c>
      <c r="G579" s="1035" t="s">
        <v>3151</v>
      </c>
      <c r="H579" s="939"/>
      <c r="I579" s="939"/>
      <c r="J579" s="939"/>
      <c r="K579" s="939"/>
      <c r="L579" s="939"/>
      <c r="M579" s="1035" t="s">
        <v>3152</v>
      </c>
      <c r="N579" s="1035" t="s">
        <v>2580</v>
      </c>
      <c r="O579" s="939" t="s">
        <v>76</v>
      </c>
      <c r="P579" s="937">
        <f t="shared" si="47"/>
        <v>44041</v>
      </c>
      <c r="Q579" s="937">
        <f t="shared" si="48"/>
        <v>44041</v>
      </c>
      <c r="R579" s="1034" t="s">
        <v>4223</v>
      </c>
      <c r="S579" s="941"/>
      <c r="T579" s="1564"/>
      <c r="U579" s="936"/>
    </row>
    <row r="580" spans="1:21" ht="38.25">
      <c r="A580" s="936" t="s">
        <v>2479</v>
      </c>
      <c r="B580" s="937">
        <v>44041</v>
      </c>
      <c r="C580" s="936">
        <v>6</v>
      </c>
      <c r="D580" s="936">
        <v>5</v>
      </c>
      <c r="E580" s="936"/>
      <c r="F580" s="936">
        <v>40</v>
      </c>
      <c r="G580" s="1035" t="s">
        <v>3153</v>
      </c>
      <c r="H580" s="939"/>
      <c r="I580" s="939"/>
      <c r="J580" s="939"/>
      <c r="K580" s="939"/>
      <c r="L580" s="939"/>
      <c r="M580" s="1035" t="s">
        <v>3149</v>
      </c>
      <c r="N580" s="1035" t="s">
        <v>2580</v>
      </c>
      <c r="O580" s="939" t="s">
        <v>76</v>
      </c>
      <c r="P580" s="937">
        <f t="shared" si="47"/>
        <v>44041</v>
      </c>
      <c r="Q580" s="937">
        <f t="shared" si="48"/>
        <v>44041</v>
      </c>
      <c r="R580" s="1034" t="s">
        <v>4223</v>
      </c>
      <c r="S580" s="941"/>
      <c r="T580" s="1564"/>
      <c r="U580" s="936"/>
    </row>
    <row r="581" spans="1:21" ht="51.75" customHeight="1">
      <c r="A581" s="936" t="s">
        <v>2479</v>
      </c>
      <c r="B581" s="937">
        <v>44041</v>
      </c>
      <c r="C581" s="936">
        <v>6</v>
      </c>
      <c r="D581" s="936">
        <v>5</v>
      </c>
      <c r="E581" s="936"/>
      <c r="F581" s="936">
        <v>41</v>
      </c>
      <c r="G581" s="1035" t="s">
        <v>3154</v>
      </c>
      <c r="H581" s="939"/>
      <c r="I581" s="939"/>
      <c r="J581" s="939"/>
      <c r="K581" s="939"/>
      <c r="L581" s="939"/>
      <c r="M581" s="1035" t="s">
        <v>2622</v>
      </c>
      <c r="N581" s="1035" t="s">
        <v>2527</v>
      </c>
      <c r="O581" s="939" t="s">
        <v>76</v>
      </c>
      <c r="P581" s="937">
        <f t="shared" si="47"/>
        <v>44041</v>
      </c>
      <c r="Q581" s="937">
        <f t="shared" si="48"/>
        <v>44041</v>
      </c>
      <c r="R581" s="1034" t="s">
        <v>4223</v>
      </c>
      <c r="S581" s="941"/>
      <c r="T581" s="1564"/>
      <c r="U581" s="936"/>
    </row>
    <row r="582" spans="1:21" ht="38.25">
      <c r="A582" s="936" t="s">
        <v>2479</v>
      </c>
      <c r="B582" s="937">
        <v>44041</v>
      </c>
      <c r="C582" s="936">
        <v>6</v>
      </c>
      <c r="D582" s="936">
        <v>5</v>
      </c>
      <c r="E582" s="936"/>
      <c r="F582" s="936">
        <v>42</v>
      </c>
      <c r="G582" s="1035" t="s">
        <v>3155</v>
      </c>
      <c r="H582" s="939"/>
      <c r="I582" s="939"/>
      <c r="J582" s="939"/>
      <c r="K582" s="939"/>
      <c r="L582" s="939"/>
      <c r="M582" s="1035" t="s">
        <v>2622</v>
      </c>
      <c r="N582" s="1035" t="s">
        <v>2527</v>
      </c>
      <c r="O582" s="939" t="s">
        <v>76</v>
      </c>
      <c r="P582" s="937">
        <f t="shared" si="47"/>
        <v>44041</v>
      </c>
      <c r="Q582" s="937">
        <f t="shared" si="48"/>
        <v>44041</v>
      </c>
      <c r="R582" s="1034" t="s">
        <v>4223</v>
      </c>
      <c r="S582" s="941"/>
      <c r="T582" s="1564"/>
      <c r="U582" s="936"/>
    </row>
    <row r="583" spans="1:21" ht="25.5">
      <c r="A583" s="936" t="s">
        <v>2479</v>
      </c>
      <c r="B583" s="937">
        <v>44041</v>
      </c>
      <c r="C583" s="936">
        <v>6</v>
      </c>
      <c r="D583" s="936">
        <v>5</v>
      </c>
      <c r="E583" s="936"/>
      <c r="F583" s="936">
        <v>43</v>
      </c>
      <c r="G583" s="1035" t="s">
        <v>3156</v>
      </c>
      <c r="H583" s="939"/>
      <c r="I583" s="939"/>
      <c r="J583" s="939"/>
      <c r="K583" s="939"/>
      <c r="L583" s="939"/>
      <c r="M583" s="1035" t="s">
        <v>2622</v>
      </c>
      <c r="N583" s="1035" t="s">
        <v>2527</v>
      </c>
      <c r="O583" s="939" t="s">
        <v>76</v>
      </c>
      <c r="P583" s="937">
        <f t="shared" si="47"/>
        <v>44041</v>
      </c>
      <c r="Q583" s="937">
        <f t="shared" si="48"/>
        <v>44041</v>
      </c>
      <c r="R583" s="1034" t="s">
        <v>4223</v>
      </c>
      <c r="S583" s="941"/>
      <c r="T583" s="1564"/>
      <c r="U583" s="936"/>
    </row>
    <row r="584" spans="1:21" ht="25.5">
      <c r="A584" s="936" t="s">
        <v>2479</v>
      </c>
      <c r="B584" s="937">
        <v>44041</v>
      </c>
      <c r="C584" s="936">
        <v>6</v>
      </c>
      <c r="D584" s="936">
        <v>5</v>
      </c>
      <c r="E584" s="936"/>
      <c r="F584" s="936">
        <v>44</v>
      </c>
      <c r="G584" s="1035" t="s">
        <v>3157</v>
      </c>
      <c r="H584" s="939"/>
      <c r="I584" s="939"/>
      <c r="J584" s="939"/>
      <c r="K584" s="939"/>
      <c r="L584" s="939"/>
      <c r="M584" s="1035" t="s">
        <v>3158</v>
      </c>
      <c r="N584" s="1035" t="s">
        <v>2607</v>
      </c>
      <c r="O584" s="939" t="s">
        <v>76</v>
      </c>
      <c r="P584" s="937">
        <f t="shared" si="47"/>
        <v>44041</v>
      </c>
      <c r="Q584" s="937">
        <f t="shared" si="48"/>
        <v>44041</v>
      </c>
      <c r="R584" s="1034" t="s">
        <v>4223</v>
      </c>
      <c r="S584" s="941"/>
      <c r="T584" s="1564"/>
      <c r="U584" s="936"/>
    </row>
    <row r="585" spans="1:21" ht="25.5">
      <c r="A585" s="936" t="s">
        <v>2479</v>
      </c>
      <c r="B585" s="937">
        <v>44041</v>
      </c>
      <c r="C585" s="936">
        <v>6</v>
      </c>
      <c r="D585" s="936">
        <v>5</v>
      </c>
      <c r="E585" s="936"/>
      <c r="F585" s="936">
        <v>45</v>
      </c>
      <c r="G585" s="1035" t="s">
        <v>3159</v>
      </c>
      <c r="H585" s="939"/>
      <c r="I585" s="939"/>
      <c r="J585" s="939"/>
      <c r="K585" s="939"/>
      <c r="L585" s="939"/>
      <c r="M585" s="1035" t="s">
        <v>3158</v>
      </c>
      <c r="N585" s="1035" t="s">
        <v>2607</v>
      </c>
      <c r="O585" s="939" t="s">
        <v>76</v>
      </c>
      <c r="P585" s="937">
        <f t="shared" si="47"/>
        <v>44041</v>
      </c>
      <c r="Q585" s="937">
        <f t="shared" si="48"/>
        <v>44041</v>
      </c>
      <c r="R585" s="1034" t="s">
        <v>4223</v>
      </c>
      <c r="S585" s="941"/>
      <c r="T585" s="1564"/>
      <c r="U585" s="936"/>
    </row>
    <row r="586" spans="1:21" ht="38.25">
      <c r="A586" s="936" t="s">
        <v>2479</v>
      </c>
      <c r="B586" s="937">
        <v>44041</v>
      </c>
      <c r="C586" s="936">
        <v>6</v>
      </c>
      <c r="D586" s="936">
        <v>5</v>
      </c>
      <c r="E586" s="936"/>
      <c r="F586" s="936">
        <v>46</v>
      </c>
      <c r="G586" s="1035" t="s">
        <v>3160</v>
      </c>
      <c r="H586" s="939"/>
      <c r="I586" s="939"/>
      <c r="J586" s="939"/>
      <c r="K586" s="939"/>
      <c r="L586" s="939"/>
      <c r="M586" s="1035" t="s">
        <v>3158</v>
      </c>
      <c r="N586" s="1035" t="s">
        <v>2607</v>
      </c>
      <c r="O586" s="939" t="s">
        <v>76</v>
      </c>
      <c r="P586" s="937">
        <f t="shared" si="47"/>
        <v>44041</v>
      </c>
      <c r="Q586" s="937">
        <f t="shared" si="48"/>
        <v>44041</v>
      </c>
      <c r="R586" s="1034" t="s">
        <v>4223</v>
      </c>
      <c r="S586" s="941"/>
      <c r="T586" s="1564"/>
      <c r="U586" s="936"/>
    </row>
    <row r="587" spans="1:21" ht="38.25">
      <c r="A587" s="936" t="s">
        <v>2479</v>
      </c>
      <c r="B587" s="937">
        <v>44041</v>
      </c>
      <c r="C587" s="936">
        <v>6</v>
      </c>
      <c r="D587" s="936">
        <v>5</v>
      </c>
      <c r="E587" s="936"/>
      <c r="F587" s="936">
        <v>47</v>
      </c>
      <c r="G587" s="1035" t="s">
        <v>3161</v>
      </c>
      <c r="H587" s="939"/>
      <c r="I587" s="939"/>
      <c r="J587" s="939"/>
      <c r="K587" s="939"/>
      <c r="L587" s="939"/>
      <c r="M587" s="1035" t="s">
        <v>2609</v>
      </c>
      <c r="N587" s="1035" t="s">
        <v>2607</v>
      </c>
      <c r="O587" s="939" t="s">
        <v>76</v>
      </c>
      <c r="P587" s="937">
        <f t="shared" si="47"/>
        <v>44041</v>
      </c>
      <c r="Q587" s="937">
        <f t="shared" si="48"/>
        <v>44041</v>
      </c>
      <c r="R587" s="1034" t="s">
        <v>4223</v>
      </c>
      <c r="S587" s="941"/>
      <c r="T587" s="1564"/>
      <c r="U587" s="936"/>
    </row>
    <row r="588" spans="1:21" ht="27" customHeight="1">
      <c r="A588" s="936" t="s">
        <v>2479</v>
      </c>
      <c r="B588" s="937">
        <v>44041</v>
      </c>
      <c r="C588" s="936">
        <v>6</v>
      </c>
      <c r="D588" s="936">
        <v>5</v>
      </c>
      <c r="E588" s="936"/>
      <c r="F588" s="936">
        <v>1</v>
      </c>
      <c r="G588" s="1035" t="s">
        <v>3162</v>
      </c>
      <c r="H588" s="939"/>
      <c r="I588" s="939"/>
      <c r="J588" s="939"/>
      <c r="K588" s="939"/>
      <c r="L588" s="939"/>
      <c r="M588" s="1035" t="s">
        <v>3163</v>
      </c>
      <c r="N588" s="1035" t="s">
        <v>2483</v>
      </c>
      <c r="O588" s="939" t="s">
        <v>63</v>
      </c>
      <c r="P588" s="937">
        <f t="shared" si="47"/>
        <v>44041</v>
      </c>
      <c r="Q588" s="937">
        <f t="shared" si="48"/>
        <v>44041</v>
      </c>
      <c r="R588" s="1034" t="s">
        <v>4223</v>
      </c>
      <c r="S588" s="941"/>
      <c r="T588" s="1564"/>
      <c r="U588" s="936"/>
    </row>
    <row r="589" spans="1:21" ht="25.5">
      <c r="A589" s="936" t="s">
        <v>2479</v>
      </c>
      <c r="B589" s="937">
        <v>44041</v>
      </c>
      <c r="C589" s="936">
        <v>6</v>
      </c>
      <c r="D589" s="936">
        <v>5</v>
      </c>
      <c r="E589" s="936"/>
      <c r="F589" s="936">
        <v>2</v>
      </c>
      <c r="G589" s="1035" t="s">
        <v>3164</v>
      </c>
      <c r="H589" s="939"/>
      <c r="I589" s="939"/>
      <c r="J589" s="939"/>
      <c r="K589" s="939"/>
      <c r="L589" s="939"/>
      <c r="M589" s="1035" t="s">
        <v>2540</v>
      </c>
      <c r="N589" s="1035" t="s">
        <v>1976</v>
      </c>
      <c r="O589" s="939" t="s">
        <v>63</v>
      </c>
      <c r="P589" s="937">
        <f>B589</f>
        <v>44041</v>
      </c>
      <c r="Q589" s="937">
        <f>B589</f>
        <v>44041</v>
      </c>
      <c r="R589" s="1034" t="s">
        <v>4223</v>
      </c>
      <c r="S589" s="941"/>
      <c r="T589" s="1564"/>
      <c r="U589" s="936"/>
    </row>
    <row r="590" spans="1:21" ht="25.5">
      <c r="A590" s="936" t="s">
        <v>2479</v>
      </c>
      <c r="B590" s="937">
        <v>44041</v>
      </c>
      <c r="C590" s="936">
        <v>6</v>
      </c>
      <c r="D590" s="936">
        <v>5</v>
      </c>
      <c r="E590" s="936"/>
      <c r="F590" s="936">
        <v>1</v>
      </c>
      <c r="G590" s="1035" t="s">
        <v>3165</v>
      </c>
      <c r="H590" s="939"/>
      <c r="I590" s="939"/>
      <c r="J590" s="939"/>
      <c r="K590" s="939"/>
      <c r="L590" s="939"/>
      <c r="M590" s="1035" t="s">
        <v>3166</v>
      </c>
      <c r="N590" s="1035" t="s">
        <v>2483</v>
      </c>
      <c r="O590" s="939" t="s">
        <v>866</v>
      </c>
      <c r="P590" s="937">
        <f>B590</f>
        <v>44041</v>
      </c>
      <c r="Q590" s="937">
        <f>B590</f>
        <v>44041</v>
      </c>
      <c r="R590" s="1034" t="s">
        <v>4223</v>
      </c>
      <c r="S590" s="941"/>
      <c r="T590" s="1564"/>
      <c r="U590" s="936"/>
    </row>
    <row r="591" spans="1:21" ht="27" customHeight="1">
      <c r="A591" s="936" t="s">
        <v>2479</v>
      </c>
      <c r="B591" s="937">
        <v>44041</v>
      </c>
      <c r="C591" s="936">
        <v>6</v>
      </c>
      <c r="D591" s="936">
        <v>5</v>
      </c>
      <c r="E591" s="936"/>
      <c r="F591" s="936">
        <v>2</v>
      </c>
      <c r="G591" s="1035" t="s">
        <v>3167</v>
      </c>
      <c r="H591" s="1" t="s">
        <v>3169</v>
      </c>
      <c r="I591" s="939"/>
      <c r="J591" s="939"/>
      <c r="K591" s="939"/>
      <c r="L591" s="939"/>
      <c r="M591" s="1035" t="s">
        <v>67</v>
      </c>
      <c r="N591" s="1035" t="s">
        <v>2541</v>
      </c>
      <c r="O591" s="939" t="s">
        <v>866</v>
      </c>
      <c r="P591" s="937">
        <f t="shared" si="47"/>
        <v>44041</v>
      </c>
      <c r="Q591" s="937">
        <f t="shared" si="48"/>
        <v>44041</v>
      </c>
      <c r="R591" s="1034" t="s">
        <v>4223</v>
      </c>
      <c r="S591" s="941"/>
      <c r="T591" s="1564"/>
      <c r="U591" s="936"/>
    </row>
    <row r="592" spans="1:21" ht="25.5">
      <c r="A592" s="936" t="s">
        <v>2479</v>
      </c>
      <c r="B592" s="937">
        <v>44041</v>
      </c>
      <c r="C592" s="936">
        <v>6</v>
      </c>
      <c r="D592" s="936">
        <v>5</v>
      </c>
      <c r="E592" s="936"/>
      <c r="F592" s="936">
        <v>3</v>
      </c>
      <c r="G592" s="1035" t="s">
        <v>3168</v>
      </c>
      <c r="H592" s="1" t="s">
        <v>3169</v>
      </c>
      <c r="I592" s="939"/>
      <c r="J592" s="939"/>
      <c r="K592" s="939"/>
      <c r="L592" s="939"/>
      <c r="M592" s="1035" t="s">
        <v>67</v>
      </c>
      <c r="N592" s="1035" t="s">
        <v>2483</v>
      </c>
      <c r="O592" s="939" t="s">
        <v>866</v>
      </c>
      <c r="P592" s="937">
        <f>B592</f>
        <v>44041</v>
      </c>
      <c r="Q592" s="937">
        <f>B592</f>
        <v>44041</v>
      </c>
      <c r="R592" s="1034" t="s">
        <v>4223</v>
      </c>
      <c r="S592" s="941"/>
      <c r="T592" s="1564"/>
      <c r="U592" s="936"/>
    </row>
    <row r="593" spans="1:21" ht="25.5">
      <c r="A593" s="936" t="s">
        <v>2479</v>
      </c>
      <c r="B593" s="937">
        <v>44041</v>
      </c>
      <c r="C593" s="936">
        <v>6</v>
      </c>
      <c r="D593" s="936">
        <v>5</v>
      </c>
      <c r="E593" s="936"/>
      <c r="F593" s="936">
        <v>1</v>
      </c>
      <c r="G593" s="1035" t="s">
        <v>3171</v>
      </c>
      <c r="H593" s="939"/>
      <c r="I593" s="939"/>
      <c r="J593" s="939"/>
      <c r="K593" s="939"/>
      <c r="L593" s="939"/>
      <c r="M593" s="1035" t="s">
        <v>3172</v>
      </c>
      <c r="N593" s="1035" t="s">
        <v>2483</v>
      </c>
      <c r="O593" s="939" t="s">
        <v>3110</v>
      </c>
      <c r="P593" s="937">
        <f t="shared" si="47"/>
        <v>44041</v>
      </c>
      <c r="Q593" s="937">
        <f t="shared" si="48"/>
        <v>44041</v>
      </c>
      <c r="R593" s="1034" t="s">
        <v>4223</v>
      </c>
      <c r="S593" s="941"/>
      <c r="T593" s="1564"/>
      <c r="U593" s="936"/>
    </row>
    <row r="594" spans="1:21" ht="38.25">
      <c r="A594" s="936" t="s">
        <v>2479</v>
      </c>
      <c r="B594" s="937">
        <v>44041</v>
      </c>
      <c r="C594" s="936">
        <v>6</v>
      </c>
      <c r="D594" s="936">
        <v>5</v>
      </c>
      <c r="E594" s="936"/>
      <c r="F594" s="936">
        <v>1</v>
      </c>
      <c r="G594" s="1035" t="s">
        <v>3170</v>
      </c>
      <c r="H594" s="939"/>
      <c r="I594" s="939"/>
      <c r="J594" s="939"/>
      <c r="K594" s="939"/>
      <c r="L594" s="939"/>
      <c r="M594" s="1035" t="s">
        <v>3152</v>
      </c>
      <c r="N594" s="1035" t="s">
        <v>2666</v>
      </c>
      <c r="O594" s="939" t="s">
        <v>3111</v>
      </c>
      <c r="P594" s="937">
        <f t="shared" si="47"/>
        <v>44041</v>
      </c>
      <c r="Q594" s="937">
        <f t="shared" si="48"/>
        <v>44041</v>
      </c>
      <c r="R594" s="1034" t="s">
        <v>4223</v>
      </c>
      <c r="S594" s="941"/>
      <c r="T594" s="941"/>
      <c r="U594" s="936"/>
    </row>
    <row r="595" spans="1:21" ht="53.25" customHeight="1">
      <c r="A595" s="936" t="s">
        <v>2479</v>
      </c>
      <c r="B595" s="937">
        <v>44041</v>
      </c>
      <c r="C595" s="936">
        <v>6</v>
      </c>
      <c r="D595" s="936">
        <v>5</v>
      </c>
      <c r="E595" s="936"/>
      <c r="F595" s="936">
        <v>1</v>
      </c>
      <c r="G595" s="1035" t="s">
        <v>3174</v>
      </c>
      <c r="H595" s="939"/>
      <c r="I595" s="939"/>
      <c r="J595" s="939"/>
      <c r="K595" s="939"/>
      <c r="L595" s="939"/>
      <c r="M595" s="1035" t="s">
        <v>2594</v>
      </c>
      <c r="N595" s="1035" t="s">
        <v>2527</v>
      </c>
      <c r="O595" s="939" t="s">
        <v>246</v>
      </c>
      <c r="P595" s="937">
        <f t="shared" si="47"/>
        <v>44041</v>
      </c>
      <c r="Q595" s="937">
        <f t="shared" si="48"/>
        <v>44041</v>
      </c>
      <c r="R595" s="1034" t="s">
        <v>4223</v>
      </c>
      <c r="S595" s="941"/>
      <c r="T595" s="941"/>
      <c r="U595" s="936"/>
    </row>
    <row r="596" spans="1:21" ht="78" customHeight="1">
      <c r="A596" s="936" t="s">
        <v>2479</v>
      </c>
      <c r="B596" s="937">
        <v>44041</v>
      </c>
      <c r="C596" s="936">
        <v>6</v>
      </c>
      <c r="D596" s="936">
        <v>5</v>
      </c>
      <c r="E596" s="936"/>
      <c r="F596" s="936">
        <v>2</v>
      </c>
      <c r="G596" s="1035" t="s">
        <v>3173</v>
      </c>
      <c r="H596" s="939"/>
      <c r="I596" s="939"/>
      <c r="J596" s="939"/>
      <c r="K596" s="939"/>
      <c r="L596" s="939"/>
      <c r="M596" s="1035" t="s">
        <v>3146</v>
      </c>
      <c r="N596" s="1035" t="s">
        <v>2483</v>
      </c>
      <c r="O596" s="939" t="s">
        <v>246</v>
      </c>
      <c r="P596" s="937">
        <f t="shared" si="47"/>
        <v>44041</v>
      </c>
      <c r="Q596" s="937">
        <f t="shared" si="48"/>
        <v>44041</v>
      </c>
      <c r="R596" s="1034" t="s">
        <v>4223</v>
      </c>
      <c r="S596" s="941"/>
      <c r="T596" s="941"/>
      <c r="U596" s="936"/>
    </row>
    <row r="597" spans="1:21" ht="38.25">
      <c r="A597" s="936" t="s">
        <v>2479</v>
      </c>
      <c r="B597" s="937">
        <v>44041</v>
      </c>
      <c r="C597" s="936">
        <v>6</v>
      </c>
      <c r="D597" s="936">
        <v>5</v>
      </c>
      <c r="E597" s="936"/>
      <c r="F597" s="936">
        <v>1</v>
      </c>
      <c r="G597" s="1035" t="s">
        <v>3175</v>
      </c>
      <c r="H597" s="939"/>
      <c r="I597" s="939"/>
      <c r="J597" s="939"/>
      <c r="K597" s="939"/>
      <c r="L597" s="939"/>
      <c r="M597" s="1035" t="s">
        <v>3176</v>
      </c>
      <c r="N597" s="1035" t="s">
        <v>2483</v>
      </c>
      <c r="O597" s="939" t="s">
        <v>76</v>
      </c>
      <c r="P597" s="937">
        <f t="shared" si="47"/>
        <v>44041</v>
      </c>
      <c r="Q597" s="937">
        <f t="shared" si="48"/>
        <v>44041</v>
      </c>
      <c r="R597" s="1034" t="s">
        <v>4223</v>
      </c>
      <c r="S597" s="941"/>
      <c r="T597" s="941"/>
      <c r="U597" s="936"/>
    </row>
    <row r="598" spans="1:21" ht="38.25" customHeight="1">
      <c r="A598" s="936" t="s">
        <v>2479</v>
      </c>
      <c r="B598" s="937">
        <v>44041</v>
      </c>
      <c r="C598" s="936">
        <v>6</v>
      </c>
      <c r="D598" s="936">
        <v>5</v>
      </c>
      <c r="E598" s="936"/>
      <c r="F598" s="936">
        <v>2</v>
      </c>
      <c r="G598" s="1035" t="s">
        <v>3177</v>
      </c>
      <c r="H598" s="939"/>
      <c r="I598" s="939"/>
      <c r="J598" s="939"/>
      <c r="K598" s="939"/>
      <c r="L598" s="939"/>
      <c r="M598" s="1035" t="s">
        <v>3149</v>
      </c>
      <c r="N598" s="1035" t="s">
        <v>2580</v>
      </c>
      <c r="O598" s="939" t="s">
        <v>76</v>
      </c>
      <c r="P598" s="937">
        <f t="shared" si="47"/>
        <v>44041</v>
      </c>
      <c r="Q598" s="937">
        <f t="shared" si="48"/>
        <v>44041</v>
      </c>
      <c r="R598" s="1034" t="s">
        <v>4223</v>
      </c>
      <c r="S598" s="941"/>
      <c r="T598" s="941"/>
      <c r="U598" s="936"/>
    </row>
    <row r="599" spans="1:21" ht="41.25" customHeight="1">
      <c r="A599" s="936" t="s">
        <v>2479</v>
      </c>
      <c r="B599" s="937">
        <v>44041</v>
      </c>
      <c r="C599" s="936">
        <v>6</v>
      </c>
      <c r="D599" s="936">
        <v>5</v>
      </c>
      <c r="E599" s="936"/>
      <c r="F599" s="936">
        <v>3</v>
      </c>
      <c r="G599" s="1035" t="s">
        <v>3116</v>
      </c>
      <c r="H599" s="939"/>
      <c r="I599" s="939"/>
      <c r="J599" s="939"/>
      <c r="K599" s="939"/>
      <c r="L599" s="939"/>
      <c r="M599" s="1035" t="s">
        <v>2700</v>
      </c>
      <c r="N599" s="1035" t="s">
        <v>2483</v>
      </c>
      <c r="O599" s="939" t="s">
        <v>76</v>
      </c>
      <c r="P599" s="937">
        <f t="shared" si="47"/>
        <v>44041</v>
      </c>
      <c r="Q599" s="937">
        <f t="shared" si="48"/>
        <v>44041</v>
      </c>
      <c r="R599" s="1034" t="s">
        <v>4223</v>
      </c>
      <c r="S599" s="941"/>
      <c r="T599" s="941"/>
      <c r="U599" s="936"/>
    </row>
    <row r="600" spans="1:21" ht="38.25" customHeight="1">
      <c r="A600" s="936" t="s">
        <v>2479</v>
      </c>
      <c r="B600" s="937">
        <v>44041</v>
      </c>
      <c r="C600" s="936">
        <v>6</v>
      </c>
      <c r="D600" s="936">
        <v>5</v>
      </c>
      <c r="E600" s="936"/>
      <c r="F600" s="936">
        <v>4</v>
      </c>
      <c r="G600" s="1035" t="s">
        <v>3118</v>
      </c>
      <c r="H600" s="939"/>
      <c r="I600" s="939"/>
      <c r="J600" s="939"/>
      <c r="K600" s="939"/>
      <c r="L600" s="939"/>
      <c r="M600" s="1035" t="s">
        <v>2700</v>
      </c>
      <c r="N600" s="1035" t="s">
        <v>2483</v>
      </c>
      <c r="O600" s="939" t="s">
        <v>76</v>
      </c>
      <c r="P600" s="937">
        <f t="shared" ref="P600:P606" si="49">B600</f>
        <v>44041</v>
      </c>
      <c r="Q600" s="937">
        <f t="shared" ref="Q600:Q606" si="50">B600</f>
        <v>44041</v>
      </c>
      <c r="R600" s="1034" t="s">
        <v>4223</v>
      </c>
      <c r="S600" s="941"/>
      <c r="T600" s="941"/>
      <c r="U600" s="936"/>
    </row>
    <row r="601" spans="1:21" ht="39.75" customHeight="1">
      <c r="A601" s="936" t="s">
        <v>2479</v>
      </c>
      <c r="B601" s="937">
        <v>44041</v>
      </c>
      <c r="C601" s="936">
        <v>6</v>
      </c>
      <c r="D601" s="936">
        <v>5</v>
      </c>
      <c r="E601" s="936"/>
      <c r="F601" s="936">
        <v>5</v>
      </c>
      <c r="G601" s="1035" t="s">
        <v>3119</v>
      </c>
      <c r="H601" s="939"/>
      <c r="I601" s="939"/>
      <c r="J601" s="939"/>
      <c r="K601" s="939"/>
      <c r="L601" s="939"/>
      <c r="M601" s="1035" t="s">
        <v>2700</v>
      </c>
      <c r="N601" s="1035" t="s">
        <v>2483</v>
      </c>
      <c r="O601" s="939" t="s">
        <v>76</v>
      </c>
      <c r="P601" s="937">
        <f t="shared" si="49"/>
        <v>44041</v>
      </c>
      <c r="Q601" s="937">
        <f t="shared" si="50"/>
        <v>44041</v>
      </c>
      <c r="R601" s="1034" t="s">
        <v>4223</v>
      </c>
      <c r="S601" s="941"/>
      <c r="T601" s="941"/>
      <c r="U601" s="936"/>
    </row>
    <row r="602" spans="1:21" ht="40.5" customHeight="1">
      <c r="A602" s="936" t="s">
        <v>2479</v>
      </c>
      <c r="B602" s="937">
        <v>44041</v>
      </c>
      <c r="C602" s="936">
        <v>6</v>
      </c>
      <c r="D602" s="936">
        <v>6</v>
      </c>
      <c r="E602" s="936"/>
      <c r="F602" s="936">
        <v>6</v>
      </c>
      <c r="G602" s="1035" t="s">
        <v>3178</v>
      </c>
      <c r="H602" s="939"/>
      <c r="I602" s="939"/>
      <c r="J602" s="939"/>
      <c r="K602" s="939"/>
      <c r="L602" s="939"/>
      <c r="M602" s="1035" t="s">
        <v>2700</v>
      </c>
      <c r="N602" s="1035" t="s">
        <v>2483</v>
      </c>
      <c r="O602" s="939" t="s">
        <v>76</v>
      </c>
      <c r="P602" s="937">
        <f t="shared" si="49"/>
        <v>44041</v>
      </c>
      <c r="Q602" s="937">
        <f t="shared" si="50"/>
        <v>44041</v>
      </c>
      <c r="R602" s="1034" t="s">
        <v>4223</v>
      </c>
      <c r="S602" s="941"/>
      <c r="T602" s="941"/>
      <c r="U602" s="936"/>
    </row>
    <row r="603" spans="1:21" ht="40.5" customHeight="1">
      <c r="A603" s="936" t="s">
        <v>2479</v>
      </c>
      <c r="B603" s="937">
        <v>44041</v>
      </c>
      <c r="C603" s="936">
        <v>6</v>
      </c>
      <c r="D603" s="936">
        <v>6</v>
      </c>
      <c r="E603" s="936"/>
      <c r="F603" s="936">
        <v>7</v>
      </c>
      <c r="G603" s="1035" t="s">
        <v>3123</v>
      </c>
      <c r="H603" s="939"/>
      <c r="I603" s="939"/>
      <c r="J603" s="939"/>
      <c r="K603" s="939"/>
      <c r="L603" s="939"/>
      <c r="M603" s="1035" t="s">
        <v>2559</v>
      </c>
      <c r="N603" s="1035" t="s">
        <v>2483</v>
      </c>
      <c r="O603" s="939" t="s">
        <v>76</v>
      </c>
      <c r="P603" s="937">
        <f t="shared" si="49"/>
        <v>44041</v>
      </c>
      <c r="Q603" s="937">
        <f t="shared" si="50"/>
        <v>44041</v>
      </c>
      <c r="R603" s="1034" t="s">
        <v>4223</v>
      </c>
      <c r="S603" s="941"/>
      <c r="T603" s="941"/>
      <c r="U603" s="936"/>
    </row>
    <row r="604" spans="1:21" ht="40.5" customHeight="1">
      <c r="A604" s="936" t="s">
        <v>2479</v>
      </c>
      <c r="B604" s="937">
        <v>44041</v>
      </c>
      <c r="C604" s="936">
        <v>6</v>
      </c>
      <c r="D604" s="936">
        <v>6</v>
      </c>
      <c r="E604" s="936"/>
      <c r="F604" s="936">
        <v>8</v>
      </c>
      <c r="G604" s="1035" t="s">
        <v>3124</v>
      </c>
      <c r="H604" s="939"/>
      <c r="I604" s="939"/>
      <c r="J604" s="939"/>
      <c r="K604" s="939"/>
      <c r="L604" s="939"/>
      <c r="M604" s="1035" t="s">
        <v>2559</v>
      </c>
      <c r="N604" s="1035" t="s">
        <v>2483</v>
      </c>
      <c r="O604" s="939" t="s">
        <v>76</v>
      </c>
      <c r="P604" s="937">
        <f t="shared" si="49"/>
        <v>44041</v>
      </c>
      <c r="Q604" s="937">
        <f t="shared" si="50"/>
        <v>44041</v>
      </c>
      <c r="R604" s="1034" t="s">
        <v>4223</v>
      </c>
      <c r="S604" s="941"/>
      <c r="T604" s="941"/>
      <c r="U604" s="936"/>
    </row>
    <row r="605" spans="1:21" ht="50.25" customHeight="1">
      <c r="A605" s="936" t="s">
        <v>2479</v>
      </c>
      <c r="B605" s="937">
        <v>44041</v>
      </c>
      <c r="C605" s="936">
        <v>6</v>
      </c>
      <c r="D605" s="936">
        <v>6</v>
      </c>
      <c r="E605" s="936"/>
      <c r="F605" s="936">
        <v>9</v>
      </c>
      <c r="G605" s="1035" t="s">
        <v>3179</v>
      </c>
      <c r="H605" s="939"/>
      <c r="I605" s="939"/>
      <c r="J605" s="939"/>
      <c r="K605" s="939"/>
      <c r="L605" s="939"/>
      <c r="M605" s="1035" t="s">
        <v>2559</v>
      </c>
      <c r="N605" s="1035" t="s">
        <v>2483</v>
      </c>
      <c r="O605" s="939" t="s">
        <v>76</v>
      </c>
      <c r="P605" s="937">
        <f t="shared" si="49"/>
        <v>44041</v>
      </c>
      <c r="Q605" s="937">
        <f t="shared" si="50"/>
        <v>44041</v>
      </c>
      <c r="R605" s="1034" t="s">
        <v>4223</v>
      </c>
      <c r="S605" s="941"/>
      <c r="T605" s="941"/>
      <c r="U605" s="936"/>
    </row>
    <row r="606" spans="1:21" ht="40.5" customHeight="1">
      <c r="A606" s="936" t="s">
        <v>2479</v>
      </c>
      <c r="B606" s="937">
        <v>44041</v>
      </c>
      <c r="C606" s="936">
        <v>6</v>
      </c>
      <c r="D606" s="936">
        <v>6</v>
      </c>
      <c r="E606" s="936"/>
      <c r="F606" s="936">
        <v>10</v>
      </c>
      <c r="G606" s="1035" t="s">
        <v>3180</v>
      </c>
      <c r="H606" s="939"/>
      <c r="I606" s="939"/>
      <c r="J606" s="939"/>
      <c r="K606" s="939"/>
      <c r="L606" s="939"/>
      <c r="M606" s="1035" t="s">
        <v>2559</v>
      </c>
      <c r="N606" s="1035" t="s">
        <v>2483</v>
      </c>
      <c r="O606" s="939" t="s">
        <v>76</v>
      </c>
      <c r="P606" s="937">
        <f t="shared" si="49"/>
        <v>44041</v>
      </c>
      <c r="Q606" s="937">
        <f t="shared" si="50"/>
        <v>44041</v>
      </c>
      <c r="R606" s="1034" t="s">
        <v>4223</v>
      </c>
      <c r="S606" s="941"/>
      <c r="T606" s="941"/>
      <c r="U606" s="936"/>
    </row>
    <row r="607" spans="1:21" ht="38.25">
      <c r="A607" s="936" t="s">
        <v>2479</v>
      </c>
      <c r="B607" s="937">
        <v>44041</v>
      </c>
      <c r="C607" s="936">
        <v>6</v>
      </c>
      <c r="D607" s="936">
        <v>6</v>
      </c>
      <c r="E607" s="936"/>
      <c r="F607" s="936">
        <v>11</v>
      </c>
      <c r="G607" s="1035" t="s">
        <v>3154</v>
      </c>
      <c r="H607" s="939"/>
      <c r="I607" s="939"/>
      <c r="J607" s="939"/>
      <c r="K607" s="939"/>
      <c r="L607" s="939"/>
      <c r="M607" s="1035" t="s">
        <v>2622</v>
      </c>
      <c r="N607" s="1035" t="s">
        <v>2527</v>
      </c>
      <c r="O607" s="939" t="s">
        <v>76</v>
      </c>
      <c r="P607" s="937">
        <f>B607</f>
        <v>44041</v>
      </c>
      <c r="Q607" s="937">
        <f>B607</f>
        <v>44041</v>
      </c>
      <c r="R607" s="1034" t="s">
        <v>4223</v>
      </c>
      <c r="S607" s="941"/>
      <c r="T607" s="941"/>
      <c r="U607" s="936"/>
    </row>
    <row r="608" spans="1:21" ht="38.25">
      <c r="A608" s="936" t="s">
        <v>2479</v>
      </c>
      <c r="B608" s="937">
        <v>44041</v>
      </c>
      <c r="C608" s="936">
        <v>6</v>
      </c>
      <c r="D608" s="936">
        <v>6</v>
      </c>
      <c r="E608" s="936"/>
      <c r="F608" s="936">
        <v>12</v>
      </c>
      <c r="G608" s="1035" t="s">
        <v>3155</v>
      </c>
      <c r="H608" s="939"/>
      <c r="I608" s="939"/>
      <c r="J608" s="939"/>
      <c r="K608" s="939"/>
      <c r="L608" s="939"/>
      <c r="M608" s="1035" t="s">
        <v>2622</v>
      </c>
      <c r="N608" s="1035" t="s">
        <v>2527</v>
      </c>
      <c r="O608" s="939" t="s">
        <v>76</v>
      </c>
      <c r="P608" s="937">
        <f>B608</f>
        <v>44041</v>
      </c>
      <c r="Q608" s="937">
        <f>B608</f>
        <v>44041</v>
      </c>
      <c r="R608" s="1034" t="s">
        <v>4223</v>
      </c>
      <c r="S608" s="941"/>
      <c r="T608" s="941"/>
      <c r="U608" s="936"/>
    </row>
    <row r="609" spans="1:21" ht="39.75" customHeight="1">
      <c r="A609" s="936" t="s">
        <v>2479</v>
      </c>
      <c r="B609" s="937">
        <v>44041</v>
      </c>
      <c r="C609" s="936">
        <v>6</v>
      </c>
      <c r="D609" s="936">
        <v>6</v>
      </c>
      <c r="E609" s="936"/>
      <c r="F609" s="936">
        <v>13</v>
      </c>
      <c r="G609" s="1035" t="s">
        <v>3156</v>
      </c>
      <c r="H609" s="939"/>
      <c r="I609" s="939"/>
      <c r="J609" s="939"/>
      <c r="K609" s="939"/>
      <c r="L609" s="939"/>
      <c r="M609" s="1035" t="s">
        <v>2622</v>
      </c>
      <c r="N609" s="1035" t="s">
        <v>2527</v>
      </c>
      <c r="O609" s="939" t="s">
        <v>76</v>
      </c>
      <c r="P609" s="937">
        <f>B609</f>
        <v>44041</v>
      </c>
      <c r="Q609" s="937">
        <f>B609</f>
        <v>44041</v>
      </c>
      <c r="R609" s="1034" t="s">
        <v>4223</v>
      </c>
      <c r="S609" s="941"/>
      <c r="T609" s="941"/>
      <c r="U609" s="936"/>
    </row>
    <row r="610" spans="1:21" ht="32.25" hidden="1" customHeight="1">
      <c r="A610" s="936" t="s">
        <v>2479</v>
      </c>
      <c r="B610" s="937">
        <v>43538</v>
      </c>
      <c r="C610" s="936">
        <v>2</v>
      </c>
      <c r="D610" s="936">
        <v>11</v>
      </c>
      <c r="E610" s="946" t="s">
        <v>1241</v>
      </c>
      <c r="F610" s="946"/>
      <c r="G610" s="1035" t="s">
        <v>2637</v>
      </c>
      <c r="H610" s="939"/>
      <c r="I610" s="939" t="s">
        <v>550</v>
      </c>
      <c r="J610" s="939"/>
      <c r="K610" s="939"/>
      <c r="L610" s="939"/>
      <c r="M610" s="1035" t="s">
        <v>2531</v>
      </c>
      <c r="N610" s="1035" t="s">
        <v>2527</v>
      </c>
      <c r="O610" s="939" t="s">
        <v>76</v>
      </c>
      <c r="P610" s="937">
        <f t="shared" ref="P610:P641" si="51">B610</f>
        <v>43538</v>
      </c>
      <c r="Q610" s="937">
        <f t="shared" ref="Q610:Q615" si="52">P610</f>
        <v>43538</v>
      </c>
      <c r="R610" s="1034" t="s">
        <v>4223</v>
      </c>
      <c r="S610" s="943" t="s">
        <v>2136</v>
      </c>
      <c r="T610" s="943"/>
      <c r="U610" s="936"/>
    </row>
    <row r="611" spans="1:21" hidden="1">
      <c r="A611" s="936" t="s">
        <v>2479</v>
      </c>
      <c r="B611" s="937">
        <v>43538</v>
      </c>
      <c r="C611" s="936">
        <v>2</v>
      </c>
      <c r="D611" s="936">
        <v>11</v>
      </c>
      <c r="E611" s="944" t="s">
        <v>1198</v>
      </c>
      <c r="F611" s="944"/>
      <c r="G611" s="1035" t="s">
        <v>2638</v>
      </c>
      <c r="H611" s="939"/>
      <c r="I611" s="939" t="s">
        <v>550</v>
      </c>
      <c r="J611" s="939"/>
      <c r="K611" s="939"/>
      <c r="L611" s="939"/>
      <c r="M611" s="1035" t="s">
        <v>2639</v>
      </c>
      <c r="N611" s="1035" t="s">
        <v>2527</v>
      </c>
      <c r="O611" s="939" t="s">
        <v>76</v>
      </c>
      <c r="P611" s="937">
        <f t="shared" si="51"/>
        <v>43538</v>
      </c>
      <c r="Q611" s="937">
        <f t="shared" si="52"/>
        <v>43538</v>
      </c>
      <c r="R611" s="1034" t="s">
        <v>4223</v>
      </c>
      <c r="S611" s="941"/>
      <c r="T611" s="941"/>
      <c r="U611" s="936"/>
    </row>
    <row r="612" spans="1:21" ht="45" hidden="1">
      <c r="A612" s="936" t="s">
        <v>2479</v>
      </c>
      <c r="B612" s="937">
        <v>43538</v>
      </c>
      <c r="C612" s="936">
        <v>2</v>
      </c>
      <c r="D612" s="936">
        <v>11</v>
      </c>
      <c r="E612" s="936"/>
      <c r="F612" s="936"/>
      <c r="G612" s="1035" t="s">
        <v>2640</v>
      </c>
      <c r="H612" s="939" t="s">
        <v>2641</v>
      </c>
      <c r="I612" s="939" t="s">
        <v>2313</v>
      </c>
      <c r="J612" s="939"/>
      <c r="K612" s="939"/>
      <c r="L612" s="939"/>
      <c r="M612" s="1035" t="s">
        <v>2571</v>
      </c>
      <c r="N612" s="1035" t="s">
        <v>2541</v>
      </c>
      <c r="O612" s="939" t="s">
        <v>76</v>
      </c>
      <c r="P612" s="937">
        <f t="shared" si="51"/>
        <v>43538</v>
      </c>
      <c r="Q612" s="937">
        <f t="shared" si="52"/>
        <v>43538</v>
      </c>
      <c r="R612" s="1034" t="s">
        <v>4223</v>
      </c>
      <c r="S612" s="941"/>
      <c r="T612" s="941"/>
      <c r="U612" s="936"/>
    </row>
    <row r="613" spans="1:21" hidden="1">
      <c r="A613" s="936" t="s">
        <v>2479</v>
      </c>
      <c r="B613" s="937">
        <v>43538</v>
      </c>
      <c r="C613" s="936">
        <v>2</v>
      </c>
      <c r="D613" s="936">
        <v>11</v>
      </c>
      <c r="E613" s="946" t="s">
        <v>1252</v>
      </c>
      <c r="F613" s="946"/>
      <c r="G613" s="1035" t="s">
        <v>2642</v>
      </c>
      <c r="H613" s="939"/>
      <c r="I613" s="939" t="s">
        <v>550</v>
      </c>
      <c r="J613" s="939"/>
      <c r="K613" s="939"/>
      <c r="L613" s="939"/>
      <c r="M613" s="1035" t="s">
        <v>2573</v>
      </c>
      <c r="N613" s="1035" t="s">
        <v>2541</v>
      </c>
      <c r="O613" s="939" t="s">
        <v>76</v>
      </c>
      <c r="P613" s="937">
        <f t="shared" si="51"/>
        <v>43538</v>
      </c>
      <c r="Q613" s="937">
        <f t="shared" si="52"/>
        <v>43538</v>
      </c>
      <c r="R613" s="1034" t="s">
        <v>4223</v>
      </c>
      <c r="S613" s="943" t="s">
        <v>2142</v>
      </c>
      <c r="T613" s="943"/>
      <c r="U613" s="936"/>
    </row>
    <row r="614" spans="1:21" ht="45" hidden="1">
      <c r="A614" s="936" t="s">
        <v>2479</v>
      </c>
      <c r="B614" s="937">
        <v>43538</v>
      </c>
      <c r="C614" s="936">
        <v>2</v>
      </c>
      <c r="D614" s="936">
        <v>11</v>
      </c>
      <c r="E614" s="936"/>
      <c r="F614" s="936"/>
      <c r="G614" s="1035" t="s">
        <v>2643</v>
      </c>
      <c r="H614" s="939" t="s">
        <v>2641</v>
      </c>
      <c r="I614" s="939" t="s">
        <v>2313</v>
      </c>
      <c r="J614" s="939"/>
      <c r="K614" s="939"/>
      <c r="L614" s="939"/>
      <c r="M614" s="1035" t="s">
        <v>2644</v>
      </c>
      <c r="N614" s="1035" t="s">
        <v>2541</v>
      </c>
      <c r="O614" s="939" t="s">
        <v>76</v>
      </c>
      <c r="P614" s="937">
        <f t="shared" si="51"/>
        <v>43538</v>
      </c>
      <c r="Q614" s="937">
        <f t="shared" si="52"/>
        <v>43538</v>
      </c>
      <c r="R614" s="1034" t="s">
        <v>4223</v>
      </c>
      <c r="S614" s="941"/>
      <c r="T614" s="941"/>
      <c r="U614" s="936"/>
    </row>
    <row r="615" spans="1:21" ht="45" hidden="1">
      <c r="A615" s="936" t="s">
        <v>2479</v>
      </c>
      <c r="B615" s="937">
        <v>43538</v>
      </c>
      <c r="C615" s="936">
        <v>2</v>
      </c>
      <c r="D615" s="936">
        <v>11</v>
      </c>
      <c r="E615" s="936"/>
      <c r="F615" s="936"/>
      <c r="G615" s="1035" t="s">
        <v>2645</v>
      </c>
      <c r="H615" s="939" t="s">
        <v>2646</v>
      </c>
      <c r="I615" s="939" t="s">
        <v>2313</v>
      </c>
      <c r="J615" s="939"/>
      <c r="K615" s="939"/>
      <c r="L615" s="939"/>
      <c r="M615" s="1035" t="s">
        <v>2491</v>
      </c>
      <c r="N615" s="1035" t="s">
        <v>2580</v>
      </c>
      <c r="O615" s="939" t="s">
        <v>76</v>
      </c>
      <c r="P615" s="937">
        <f t="shared" si="51"/>
        <v>43538</v>
      </c>
      <c r="Q615" s="937">
        <f t="shared" si="52"/>
        <v>43538</v>
      </c>
      <c r="R615" s="1034" t="s">
        <v>4223</v>
      </c>
      <c r="S615" s="941"/>
      <c r="T615" s="941"/>
      <c r="U615" s="936"/>
    </row>
    <row r="616" spans="1:21" hidden="1">
      <c r="A616" s="936" t="s">
        <v>2479</v>
      </c>
      <c r="B616" s="937">
        <v>43538</v>
      </c>
      <c r="C616" s="936">
        <v>2</v>
      </c>
      <c r="D616" s="936">
        <v>11</v>
      </c>
      <c r="E616" s="946" t="s">
        <v>1265</v>
      </c>
      <c r="F616" s="946"/>
      <c r="G616" s="1035" t="s">
        <v>2647</v>
      </c>
      <c r="H616" s="939"/>
      <c r="I616" s="939" t="s">
        <v>550</v>
      </c>
      <c r="J616" s="939"/>
      <c r="K616" s="939"/>
      <c r="L616" s="939"/>
      <c r="M616" s="1035" t="s">
        <v>2589</v>
      </c>
      <c r="N616" s="1035" t="s">
        <v>2527</v>
      </c>
      <c r="O616" s="939" t="s">
        <v>76</v>
      </c>
      <c r="P616" s="937">
        <f t="shared" si="51"/>
        <v>43538</v>
      </c>
      <c r="Q616" s="937">
        <f t="shared" ref="Q616:Q677" si="53">P616</f>
        <v>43538</v>
      </c>
      <c r="R616" s="1034" t="s">
        <v>4223</v>
      </c>
      <c r="S616" s="943" t="s">
        <v>2149</v>
      </c>
      <c r="T616" s="943"/>
      <c r="U616" s="936"/>
    </row>
    <row r="617" spans="1:21" ht="45" hidden="1">
      <c r="A617" s="936" t="s">
        <v>2479</v>
      </c>
      <c r="B617" s="937">
        <v>43538</v>
      </c>
      <c r="C617" s="936">
        <v>2</v>
      </c>
      <c r="D617" s="936">
        <v>11</v>
      </c>
      <c r="E617" s="944" t="s">
        <v>2648</v>
      </c>
      <c r="F617" s="944"/>
      <c r="G617" s="1035" t="s">
        <v>2649</v>
      </c>
      <c r="H617" s="939"/>
      <c r="I617" s="939" t="s">
        <v>550</v>
      </c>
      <c r="J617" s="939"/>
      <c r="K617" s="939"/>
      <c r="L617" s="939"/>
      <c r="M617" s="1035" t="s">
        <v>2650</v>
      </c>
      <c r="N617" s="1035" t="s">
        <v>2651</v>
      </c>
      <c r="O617" s="939" t="s">
        <v>76</v>
      </c>
      <c r="P617" s="937">
        <f t="shared" si="51"/>
        <v>43538</v>
      </c>
      <c r="Q617" s="937">
        <f t="shared" si="53"/>
        <v>43538</v>
      </c>
      <c r="R617" s="1034" t="s">
        <v>4223</v>
      </c>
      <c r="S617" s="941"/>
      <c r="T617" s="941"/>
      <c r="U617" s="936"/>
    </row>
    <row r="618" spans="1:21" ht="58.5" hidden="1" customHeight="1">
      <c r="A618" s="936" t="s">
        <v>2479</v>
      </c>
      <c r="B618" s="937">
        <v>43742</v>
      </c>
      <c r="C618" s="936">
        <v>4</v>
      </c>
      <c r="D618" s="936">
        <v>3</v>
      </c>
      <c r="E618" s="945" t="s">
        <v>1179</v>
      </c>
      <c r="F618" s="945"/>
      <c r="G618" s="1035" t="s">
        <v>2652</v>
      </c>
      <c r="H618" s="939"/>
      <c r="I618" s="939" t="s">
        <v>550</v>
      </c>
      <c r="J618" s="939"/>
      <c r="K618" s="939"/>
      <c r="L618" s="939"/>
      <c r="M618" s="1035"/>
      <c r="N618" s="1035" t="s">
        <v>2653</v>
      </c>
      <c r="O618" s="939" t="s">
        <v>165</v>
      </c>
      <c r="P618" s="937">
        <f t="shared" si="51"/>
        <v>43742</v>
      </c>
      <c r="Q618" s="937">
        <f t="shared" si="53"/>
        <v>43742</v>
      </c>
      <c r="R618" s="1034" t="s">
        <v>4223</v>
      </c>
      <c r="S618" s="936"/>
      <c r="T618" s="936"/>
      <c r="U618" s="936"/>
    </row>
    <row r="619" spans="1:21" ht="44.25" hidden="1" customHeight="1">
      <c r="A619" s="936" t="s">
        <v>2479</v>
      </c>
      <c r="B619" s="937">
        <v>43742</v>
      </c>
      <c r="C619" s="936">
        <v>4</v>
      </c>
      <c r="D619" s="936">
        <v>3</v>
      </c>
      <c r="E619" s="945" t="s">
        <v>1245</v>
      </c>
      <c r="F619" s="945"/>
      <c r="G619" s="1035" t="s">
        <v>2654</v>
      </c>
      <c r="H619" s="939"/>
      <c r="I619" s="939" t="s">
        <v>550</v>
      </c>
      <c r="J619" s="939"/>
      <c r="K619" s="939"/>
      <c r="L619" s="939"/>
      <c r="M619" s="1035" t="s">
        <v>2655</v>
      </c>
      <c r="N619" s="1035" t="s">
        <v>2483</v>
      </c>
      <c r="O619" s="939" t="s">
        <v>165</v>
      </c>
      <c r="P619" s="937">
        <f t="shared" si="51"/>
        <v>43742</v>
      </c>
      <c r="Q619" s="937">
        <f t="shared" si="53"/>
        <v>43742</v>
      </c>
      <c r="R619" s="1034" t="s">
        <v>4223</v>
      </c>
      <c r="S619" s="936"/>
      <c r="T619" s="936"/>
      <c r="U619" s="936"/>
    </row>
    <row r="620" spans="1:21" ht="38.25" hidden="1" customHeight="1">
      <c r="A620" s="936" t="s">
        <v>2479</v>
      </c>
      <c r="B620" s="937">
        <v>43742</v>
      </c>
      <c r="C620" s="936">
        <v>4</v>
      </c>
      <c r="D620" s="936">
        <v>3</v>
      </c>
      <c r="E620" s="945" t="s">
        <v>1280</v>
      </c>
      <c r="F620" s="945"/>
      <c r="G620" s="1035" t="s">
        <v>2656</v>
      </c>
      <c r="H620" s="939"/>
      <c r="I620" s="939" t="s">
        <v>550</v>
      </c>
      <c r="J620" s="939"/>
      <c r="K620" s="939"/>
      <c r="L620" s="939"/>
      <c r="M620" s="1035" t="s">
        <v>2657</v>
      </c>
      <c r="N620" s="1035" t="s">
        <v>2483</v>
      </c>
      <c r="O620" s="939" t="s">
        <v>165</v>
      </c>
      <c r="P620" s="937">
        <f t="shared" si="51"/>
        <v>43742</v>
      </c>
      <c r="Q620" s="937">
        <f t="shared" si="53"/>
        <v>43742</v>
      </c>
      <c r="R620" s="1034" t="s">
        <v>4223</v>
      </c>
      <c r="S620" s="936"/>
      <c r="T620" s="936"/>
      <c r="U620" s="936"/>
    </row>
    <row r="621" spans="1:21" ht="30.75" hidden="1" customHeight="1">
      <c r="A621" s="936" t="s">
        <v>2479</v>
      </c>
      <c r="B621" s="937">
        <v>43742</v>
      </c>
      <c r="C621" s="936">
        <v>4</v>
      </c>
      <c r="D621" s="936">
        <v>3</v>
      </c>
      <c r="E621" s="945" t="s">
        <v>1286</v>
      </c>
      <c r="F621" s="945"/>
      <c r="G621" s="1035" t="s">
        <v>2658</v>
      </c>
      <c r="H621" s="939"/>
      <c r="I621" s="939" t="s">
        <v>550</v>
      </c>
      <c r="J621" s="939"/>
      <c r="K621" s="939"/>
      <c r="L621" s="939"/>
      <c r="M621" s="1035" t="s">
        <v>2657</v>
      </c>
      <c r="N621" s="1035" t="s">
        <v>2483</v>
      </c>
      <c r="O621" s="939" t="s">
        <v>165</v>
      </c>
      <c r="P621" s="937">
        <f t="shared" si="51"/>
        <v>43742</v>
      </c>
      <c r="Q621" s="937">
        <f t="shared" si="53"/>
        <v>43742</v>
      </c>
      <c r="R621" s="1034" t="s">
        <v>4223</v>
      </c>
      <c r="S621" s="936"/>
      <c r="T621" s="936"/>
      <c r="U621" s="936"/>
    </row>
    <row r="622" spans="1:21" ht="25.5" hidden="1">
      <c r="A622" s="936" t="s">
        <v>2479</v>
      </c>
      <c r="B622" s="937">
        <v>43742</v>
      </c>
      <c r="C622" s="936">
        <v>4</v>
      </c>
      <c r="D622" s="936">
        <v>3</v>
      </c>
      <c r="E622" s="936"/>
      <c r="F622" s="936"/>
      <c r="G622" s="1035" t="s">
        <v>2659</v>
      </c>
      <c r="H622" s="939"/>
      <c r="I622" s="939" t="s">
        <v>2313</v>
      </c>
      <c r="J622" s="939"/>
      <c r="K622" s="939"/>
      <c r="L622" s="939"/>
      <c r="M622" s="1035" t="s">
        <v>2655</v>
      </c>
      <c r="N622" s="1035" t="s">
        <v>2483</v>
      </c>
      <c r="O622" s="939" t="s">
        <v>165</v>
      </c>
      <c r="P622" s="937">
        <f t="shared" si="51"/>
        <v>43742</v>
      </c>
      <c r="Q622" s="937">
        <f t="shared" si="53"/>
        <v>43742</v>
      </c>
      <c r="R622" s="1034" t="s">
        <v>4223</v>
      </c>
      <c r="S622" s="936"/>
      <c r="T622" s="936"/>
      <c r="U622" s="936"/>
    </row>
    <row r="623" spans="1:21" ht="25.5" hidden="1">
      <c r="A623" s="936" t="s">
        <v>2479</v>
      </c>
      <c r="B623" s="937">
        <v>43742</v>
      </c>
      <c r="C623" s="936">
        <v>4</v>
      </c>
      <c r="D623" s="936">
        <v>3</v>
      </c>
      <c r="E623" s="936"/>
      <c r="F623" s="936"/>
      <c r="G623" s="1035" t="s">
        <v>2660</v>
      </c>
      <c r="H623" s="939"/>
      <c r="I623" s="939" t="s">
        <v>2313</v>
      </c>
      <c r="J623" s="939"/>
      <c r="K623" s="939"/>
      <c r="L623" s="939"/>
      <c r="M623" s="1035" t="s">
        <v>2661</v>
      </c>
      <c r="N623" s="1035" t="s">
        <v>2483</v>
      </c>
      <c r="O623" s="939" t="s">
        <v>165</v>
      </c>
      <c r="P623" s="937">
        <f t="shared" si="51"/>
        <v>43742</v>
      </c>
      <c r="Q623" s="937">
        <f t="shared" si="53"/>
        <v>43742</v>
      </c>
      <c r="R623" s="1034" t="s">
        <v>4223</v>
      </c>
      <c r="S623" s="936"/>
      <c r="T623" s="936"/>
      <c r="U623" s="936"/>
    </row>
    <row r="624" spans="1:21" ht="25.5" hidden="1">
      <c r="A624" s="936" t="s">
        <v>2479</v>
      </c>
      <c r="B624" s="937">
        <v>43742</v>
      </c>
      <c r="C624" s="936">
        <v>4</v>
      </c>
      <c r="D624" s="936">
        <v>3</v>
      </c>
      <c r="E624" s="936"/>
      <c r="F624" s="936"/>
      <c r="G624" s="1035" t="s">
        <v>2662</v>
      </c>
      <c r="H624" s="939"/>
      <c r="I624" s="939" t="s">
        <v>2313</v>
      </c>
      <c r="J624" s="939"/>
      <c r="K624" s="939"/>
      <c r="L624" s="939"/>
      <c r="M624" s="1035" t="s">
        <v>2663</v>
      </c>
      <c r="N624" s="1035" t="s">
        <v>2483</v>
      </c>
      <c r="O624" s="939" t="s">
        <v>165</v>
      </c>
      <c r="P624" s="937">
        <f t="shared" si="51"/>
        <v>43742</v>
      </c>
      <c r="Q624" s="937">
        <f t="shared" si="53"/>
        <v>43742</v>
      </c>
      <c r="R624" s="1034" t="s">
        <v>4223</v>
      </c>
      <c r="S624" s="936"/>
      <c r="T624" s="936"/>
      <c r="U624" s="936"/>
    </row>
    <row r="625" spans="1:21" ht="25.5" hidden="1">
      <c r="A625" s="936" t="s">
        <v>2479</v>
      </c>
      <c r="B625" s="937">
        <v>43742</v>
      </c>
      <c r="C625" s="936">
        <v>4</v>
      </c>
      <c r="D625" s="936">
        <v>3</v>
      </c>
      <c r="E625" s="936"/>
      <c r="F625" s="936"/>
      <c r="G625" s="1035" t="s">
        <v>2664</v>
      </c>
      <c r="H625" s="939"/>
      <c r="I625" s="939" t="s">
        <v>2313</v>
      </c>
      <c r="J625" s="939"/>
      <c r="K625" s="939"/>
      <c r="L625" s="939"/>
      <c r="M625" s="1035" t="s">
        <v>2499</v>
      </c>
      <c r="N625" s="1035" t="s">
        <v>2483</v>
      </c>
      <c r="O625" s="939" t="s">
        <v>165</v>
      </c>
      <c r="P625" s="937">
        <f t="shared" si="51"/>
        <v>43742</v>
      </c>
      <c r="Q625" s="937">
        <f t="shared" si="53"/>
        <v>43742</v>
      </c>
      <c r="R625" s="1034" t="s">
        <v>4223</v>
      </c>
      <c r="S625" s="936"/>
      <c r="T625" s="936"/>
      <c r="U625" s="936"/>
    </row>
    <row r="626" spans="1:21" ht="25.5" hidden="1">
      <c r="A626" s="936" t="s">
        <v>2479</v>
      </c>
      <c r="B626" s="937">
        <v>43742</v>
      </c>
      <c r="C626" s="936">
        <v>4</v>
      </c>
      <c r="D626" s="936">
        <v>3</v>
      </c>
      <c r="E626" s="945" t="s">
        <v>1179</v>
      </c>
      <c r="F626" s="945"/>
      <c r="G626" s="1035" t="s">
        <v>2665</v>
      </c>
      <c r="H626" s="939"/>
      <c r="I626" s="939" t="s">
        <v>550</v>
      </c>
      <c r="J626" s="939"/>
      <c r="K626" s="939"/>
      <c r="L626" s="939"/>
      <c r="M626" s="1035"/>
      <c r="N626" s="1035" t="s">
        <v>2666</v>
      </c>
      <c r="O626" s="939" t="s">
        <v>165</v>
      </c>
      <c r="P626" s="937">
        <f t="shared" si="51"/>
        <v>43742</v>
      </c>
      <c r="Q626" s="937">
        <f t="shared" si="53"/>
        <v>43742</v>
      </c>
      <c r="R626" s="1034" t="s">
        <v>4223</v>
      </c>
      <c r="S626" s="936"/>
      <c r="T626" s="936"/>
      <c r="U626" s="936"/>
    </row>
    <row r="627" spans="1:21" ht="25.5" hidden="1">
      <c r="A627" s="936" t="s">
        <v>2479</v>
      </c>
      <c r="B627" s="937">
        <v>43742</v>
      </c>
      <c r="C627" s="936">
        <v>4</v>
      </c>
      <c r="D627" s="936">
        <v>3</v>
      </c>
      <c r="E627" s="945" t="s">
        <v>1273</v>
      </c>
      <c r="F627" s="945"/>
      <c r="G627" s="1035" t="s">
        <v>2667</v>
      </c>
      <c r="H627" s="939"/>
      <c r="I627" s="939" t="s">
        <v>550</v>
      </c>
      <c r="J627" s="939"/>
      <c r="K627" s="939"/>
      <c r="L627" s="939"/>
      <c r="M627" s="1035" t="s">
        <v>2668</v>
      </c>
      <c r="N627" s="1035" t="s">
        <v>2509</v>
      </c>
      <c r="O627" s="939" t="s">
        <v>165</v>
      </c>
      <c r="P627" s="937">
        <f t="shared" si="51"/>
        <v>43742</v>
      </c>
      <c r="Q627" s="937">
        <f t="shared" si="53"/>
        <v>43742</v>
      </c>
      <c r="R627" s="1034" t="s">
        <v>4223</v>
      </c>
      <c r="S627" s="936"/>
      <c r="T627" s="936"/>
      <c r="U627" s="936"/>
    </row>
    <row r="628" spans="1:21" ht="25.5" hidden="1">
      <c r="A628" s="936" t="s">
        <v>2479</v>
      </c>
      <c r="B628" s="937">
        <v>43742</v>
      </c>
      <c r="C628" s="936">
        <v>4</v>
      </c>
      <c r="D628" s="936">
        <v>4</v>
      </c>
      <c r="E628" s="936"/>
      <c r="F628" s="936"/>
      <c r="G628" s="1035" t="s">
        <v>2669</v>
      </c>
      <c r="H628" s="939"/>
      <c r="I628" s="939" t="s">
        <v>2313</v>
      </c>
      <c r="J628" s="939"/>
      <c r="K628" s="939"/>
      <c r="L628" s="939"/>
      <c r="M628" s="1035" t="s">
        <v>2668</v>
      </c>
      <c r="N628" s="1035" t="s">
        <v>2509</v>
      </c>
      <c r="O628" s="939" t="s">
        <v>165</v>
      </c>
      <c r="P628" s="937">
        <f t="shared" si="51"/>
        <v>43742</v>
      </c>
      <c r="Q628" s="937">
        <f t="shared" si="53"/>
        <v>43742</v>
      </c>
      <c r="R628" s="1034" t="s">
        <v>4223</v>
      </c>
      <c r="S628" s="936"/>
      <c r="T628" s="936"/>
      <c r="U628" s="936"/>
    </row>
    <row r="629" spans="1:21" ht="25.5" hidden="1">
      <c r="A629" s="936" t="s">
        <v>2479</v>
      </c>
      <c r="B629" s="937">
        <v>43742</v>
      </c>
      <c r="C629" s="936">
        <v>4</v>
      </c>
      <c r="D629" s="936">
        <v>4</v>
      </c>
      <c r="E629" s="936"/>
      <c r="F629" s="936"/>
      <c r="G629" s="1035" t="s">
        <v>2670</v>
      </c>
      <c r="H629" s="939"/>
      <c r="I629" s="939" t="s">
        <v>2313</v>
      </c>
      <c r="J629" s="939"/>
      <c r="K629" s="939"/>
      <c r="L629" s="939"/>
      <c r="M629" s="1035"/>
      <c r="N629" s="1035" t="s">
        <v>2671</v>
      </c>
      <c r="O629" s="939" t="s">
        <v>165</v>
      </c>
      <c r="P629" s="937">
        <f t="shared" si="51"/>
        <v>43742</v>
      </c>
      <c r="Q629" s="937">
        <f t="shared" si="53"/>
        <v>43742</v>
      </c>
      <c r="R629" s="1034" t="s">
        <v>4223</v>
      </c>
      <c r="S629" s="936"/>
      <c r="T629" s="936"/>
      <c r="U629" s="936"/>
    </row>
    <row r="630" spans="1:21" ht="25.5" hidden="1">
      <c r="A630" s="936" t="s">
        <v>2479</v>
      </c>
      <c r="B630" s="937">
        <v>43742</v>
      </c>
      <c r="C630" s="936">
        <v>4</v>
      </c>
      <c r="D630" s="936">
        <v>4</v>
      </c>
      <c r="E630" s="936"/>
      <c r="F630" s="936"/>
      <c r="G630" s="1035" t="s">
        <v>2672</v>
      </c>
      <c r="H630" s="939"/>
      <c r="I630" s="939" t="s">
        <v>2313</v>
      </c>
      <c r="J630" s="939"/>
      <c r="K630" s="939"/>
      <c r="L630" s="939"/>
      <c r="M630" s="1035"/>
      <c r="N630" s="1035" t="s">
        <v>1976</v>
      </c>
      <c r="O630" s="939" t="s">
        <v>165</v>
      </c>
      <c r="P630" s="937">
        <f t="shared" si="51"/>
        <v>43742</v>
      </c>
      <c r="Q630" s="937">
        <f t="shared" si="53"/>
        <v>43742</v>
      </c>
      <c r="R630" s="1034" t="s">
        <v>4223</v>
      </c>
      <c r="S630" s="936"/>
      <c r="T630" s="936"/>
      <c r="U630" s="936"/>
    </row>
    <row r="631" spans="1:21" ht="25.5" hidden="1">
      <c r="A631" s="936" t="s">
        <v>2479</v>
      </c>
      <c r="B631" s="937">
        <v>43742</v>
      </c>
      <c r="C631" s="936">
        <v>4</v>
      </c>
      <c r="D631" s="936">
        <v>4</v>
      </c>
      <c r="E631" s="945" t="s">
        <v>1289</v>
      </c>
      <c r="F631" s="945"/>
      <c r="G631" s="1035" t="s">
        <v>2658</v>
      </c>
      <c r="H631" s="939"/>
      <c r="I631" s="939" t="s">
        <v>550</v>
      </c>
      <c r="J631" s="939"/>
      <c r="K631" s="939"/>
      <c r="L631" s="939"/>
      <c r="M631" s="1035"/>
      <c r="N631" s="1035" t="s">
        <v>1976</v>
      </c>
      <c r="O631" s="939" t="s">
        <v>165</v>
      </c>
      <c r="P631" s="937">
        <f t="shared" si="51"/>
        <v>43742</v>
      </c>
      <c r="Q631" s="937">
        <f t="shared" si="53"/>
        <v>43742</v>
      </c>
      <c r="R631" s="1034" t="s">
        <v>4223</v>
      </c>
      <c r="S631" s="936"/>
      <c r="T631" s="936"/>
      <c r="U631" s="936"/>
    </row>
    <row r="632" spans="1:21" ht="25.5" hidden="1">
      <c r="A632" s="936" t="s">
        <v>2479</v>
      </c>
      <c r="B632" s="937">
        <v>43742</v>
      </c>
      <c r="C632" s="936">
        <v>4</v>
      </c>
      <c r="D632" s="936">
        <v>4</v>
      </c>
      <c r="E632" s="945" t="s">
        <v>1166</v>
      </c>
      <c r="F632" s="945"/>
      <c r="G632" s="1035" t="s">
        <v>2673</v>
      </c>
      <c r="H632" s="939"/>
      <c r="I632" s="939" t="s">
        <v>550</v>
      </c>
      <c r="J632" s="939"/>
      <c r="K632" s="939"/>
      <c r="L632" s="939"/>
      <c r="M632" s="1035" t="s">
        <v>2674</v>
      </c>
      <c r="N632" s="1035" t="s">
        <v>2527</v>
      </c>
      <c r="O632" s="939" t="s">
        <v>165</v>
      </c>
      <c r="P632" s="937">
        <f t="shared" si="51"/>
        <v>43742</v>
      </c>
      <c r="Q632" s="937">
        <f t="shared" si="53"/>
        <v>43742</v>
      </c>
      <c r="R632" s="1034" t="s">
        <v>4223</v>
      </c>
      <c r="S632" s="936"/>
      <c r="T632" s="936"/>
      <c r="U632" s="936"/>
    </row>
    <row r="633" spans="1:21" ht="45" hidden="1" customHeight="1">
      <c r="A633" s="936" t="s">
        <v>2479</v>
      </c>
      <c r="B633" s="937">
        <v>43742</v>
      </c>
      <c r="C633" s="936">
        <v>4</v>
      </c>
      <c r="D633" s="936">
        <v>4</v>
      </c>
      <c r="E633" s="945" t="s">
        <v>1169</v>
      </c>
      <c r="F633" s="945"/>
      <c r="G633" s="1035" t="s">
        <v>2675</v>
      </c>
      <c r="H633" s="939"/>
      <c r="I633" s="939" t="s">
        <v>550</v>
      </c>
      <c r="J633" s="939"/>
      <c r="K633" s="939"/>
      <c r="L633" s="939"/>
      <c r="M633" s="1035" t="s">
        <v>2674</v>
      </c>
      <c r="N633" s="1035" t="s">
        <v>2527</v>
      </c>
      <c r="O633" s="939" t="s">
        <v>165</v>
      </c>
      <c r="P633" s="937">
        <f t="shared" si="51"/>
        <v>43742</v>
      </c>
      <c r="Q633" s="937">
        <f t="shared" si="53"/>
        <v>43742</v>
      </c>
      <c r="R633" s="1034" t="s">
        <v>4223</v>
      </c>
      <c r="S633" s="936"/>
      <c r="T633" s="936"/>
      <c r="U633" s="936"/>
    </row>
    <row r="634" spans="1:21" ht="40.5" hidden="1" customHeight="1">
      <c r="A634" s="936" t="s">
        <v>2479</v>
      </c>
      <c r="B634" s="937">
        <v>43742</v>
      </c>
      <c r="C634" s="936">
        <v>4</v>
      </c>
      <c r="D634" s="936">
        <v>4</v>
      </c>
      <c r="E634" s="945" t="s">
        <v>1171</v>
      </c>
      <c r="F634" s="945"/>
      <c r="G634" s="1035" t="s">
        <v>2676</v>
      </c>
      <c r="H634" s="939"/>
      <c r="I634" s="939" t="s">
        <v>550</v>
      </c>
      <c r="J634" s="939"/>
      <c r="K634" s="939"/>
      <c r="L634" s="939"/>
      <c r="M634" s="1035" t="s">
        <v>2674</v>
      </c>
      <c r="N634" s="1035" t="s">
        <v>2527</v>
      </c>
      <c r="O634" s="939" t="s">
        <v>165</v>
      </c>
      <c r="P634" s="937">
        <f t="shared" si="51"/>
        <v>43742</v>
      </c>
      <c r="Q634" s="937">
        <f t="shared" si="53"/>
        <v>43742</v>
      </c>
      <c r="R634" s="1034" t="s">
        <v>4223</v>
      </c>
      <c r="S634" s="936"/>
      <c r="T634" s="936"/>
      <c r="U634" s="936"/>
    </row>
    <row r="635" spans="1:21" ht="25.5" hidden="1" customHeight="1">
      <c r="A635" s="936" t="s">
        <v>2479</v>
      </c>
      <c r="B635" s="937">
        <v>43742</v>
      </c>
      <c r="C635" s="936">
        <v>4</v>
      </c>
      <c r="D635" s="936">
        <v>4</v>
      </c>
      <c r="E635" s="936"/>
      <c r="F635" s="936"/>
      <c r="G635" s="1035" t="s">
        <v>2677</v>
      </c>
      <c r="H635" s="939"/>
      <c r="I635" s="939" t="s">
        <v>2313</v>
      </c>
      <c r="J635" s="939"/>
      <c r="K635" s="939"/>
      <c r="L635" s="939"/>
      <c r="M635" s="1035" t="s">
        <v>2678</v>
      </c>
      <c r="N635" s="1035" t="s">
        <v>2527</v>
      </c>
      <c r="O635" s="939" t="s">
        <v>165</v>
      </c>
      <c r="P635" s="937">
        <f t="shared" si="51"/>
        <v>43742</v>
      </c>
      <c r="Q635" s="937">
        <f t="shared" si="53"/>
        <v>43742</v>
      </c>
      <c r="R635" s="1034" t="s">
        <v>4223</v>
      </c>
      <c r="S635" s="936"/>
      <c r="T635" s="936"/>
      <c r="U635" s="936"/>
    </row>
    <row r="636" spans="1:21" ht="23.25" hidden="1" customHeight="1">
      <c r="A636" s="936" t="s">
        <v>2479</v>
      </c>
      <c r="B636" s="937">
        <v>43742</v>
      </c>
      <c r="C636" s="936">
        <v>4</v>
      </c>
      <c r="D636" s="936">
        <v>4</v>
      </c>
      <c r="E636" s="945" t="s">
        <v>1185</v>
      </c>
      <c r="F636" s="945"/>
      <c r="G636" s="1035" t="s">
        <v>2679</v>
      </c>
      <c r="H636" s="939"/>
      <c r="I636" s="939" t="s">
        <v>550</v>
      </c>
      <c r="J636" s="939"/>
      <c r="K636" s="939"/>
      <c r="L636" s="939"/>
      <c r="M636" s="1035" t="s">
        <v>2680</v>
      </c>
      <c r="N636" s="1035" t="s">
        <v>2527</v>
      </c>
      <c r="O636" s="939" t="s">
        <v>165</v>
      </c>
      <c r="P636" s="937">
        <f t="shared" si="51"/>
        <v>43742</v>
      </c>
      <c r="Q636" s="937">
        <f t="shared" si="53"/>
        <v>43742</v>
      </c>
      <c r="R636" s="1034" t="s">
        <v>4223</v>
      </c>
      <c r="S636" s="936"/>
      <c r="T636" s="936"/>
      <c r="U636" s="936"/>
    </row>
    <row r="637" spans="1:21" ht="45.75" hidden="1" customHeight="1">
      <c r="A637" s="936" t="s">
        <v>2479</v>
      </c>
      <c r="B637" s="937">
        <v>43742</v>
      </c>
      <c r="C637" s="936">
        <v>4</v>
      </c>
      <c r="D637" s="936">
        <v>4</v>
      </c>
      <c r="E637" s="944" t="s">
        <v>2681</v>
      </c>
      <c r="F637" s="944"/>
      <c r="G637" s="1035" t="s">
        <v>2682</v>
      </c>
      <c r="H637" s="939"/>
      <c r="I637" s="939" t="s">
        <v>550</v>
      </c>
      <c r="J637" s="939"/>
      <c r="K637" s="939"/>
      <c r="L637" s="939"/>
      <c r="M637" s="1035" t="s">
        <v>2482</v>
      </c>
      <c r="N637" s="1035" t="s">
        <v>2483</v>
      </c>
      <c r="O637" s="939" t="s">
        <v>2683</v>
      </c>
      <c r="P637" s="937">
        <f t="shared" si="51"/>
        <v>43742</v>
      </c>
      <c r="Q637" s="937">
        <f t="shared" si="53"/>
        <v>43742</v>
      </c>
      <c r="R637" s="1034" t="s">
        <v>4223</v>
      </c>
      <c r="S637" s="936"/>
      <c r="T637" s="936"/>
      <c r="U637" s="936"/>
    </row>
    <row r="638" spans="1:21" ht="30" hidden="1">
      <c r="A638" s="936" t="s">
        <v>2479</v>
      </c>
      <c r="B638" s="937">
        <v>43742</v>
      </c>
      <c r="C638" s="936">
        <v>4</v>
      </c>
      <c r="D638" s="936">
        <v>4</v>
      </c>
      <c r="E638" s="945" t="s">
        <v>1205</v>
      </c>
      <c r="F638" s="945"/>
      <c r="G638" s="1035" t="s">
        <v>2684</v>
      </c>
      <c r="H638" s="939"/>
      <c r="I638" s="939" t="s">
        <v>550</v>
      </c>
      <c r="J638" s="939"/>
      <c r="K638" s="939"/>
      <c r="L638" s="939"/>
      <c r="M638" s="1035" t="s">
        <v>2685</v>
      </c>
      <c r="N638" s="1035" t="s">
        <v>2527</v>
      </c>
      <c r="O638" s="939" t="s">
        <v>2686</v>
      </c>
      <c r="P638" s="937">
        <f t="shared" si="51"/>
        <v>43742</v>
      </c>
      <c r="Q638" s="937">
        <f t="shared" si="53"/>
        <v>43742</v>
      </c>
      <c r="R638" s="1034" t="s">
        <v>4223</v>
      </c>
      <c r="S638" s="936"/>
      <c r="T638" s="936"/>
      <c r="U638" s="936"/>
    </row>
    <row r="639" spans="1:21" ht="51" hidden="1">
      <c r="A639" s="936" t="s">
        <v>2479</v>
      </c>
      <c r="B639" s="937">
        <v>43742</v>
      </c>
      <c r="C639" s="936">
        <v>4</v>
      </c>
      <c r="D639" s="936">
        <v>4</v>
      </c>
      <c r="E639" s="945" t="s">
        <v>1216</v>
      </c>
      <c r="F639" s="945"/>
      <c r="G639" s="1035" t="s">
        <v>2684</v>
      </c>
      <c r="H639" s="939"/>
      <c r="I639" s="939" t="s">
        <v>550</v>
      </c>
      <c r="J639" s="939"/>
      <c r="K639" s="939"/>
      <c r="L639" s="939"/>
      <c r="M639" s="1035" t="s">
        <v>2687</v>
      </c>
      <c r="N639" s="1035" t="s">
        <v>2580</v>
      </c>
      <c r="O639" s="939" t="s">
        <v>2686</v>
      </c>
      <c r="P639" s="937">
        <f t="shared" si="51"/>
        <v>43742</v>
      </c>
      <c r="Q639" s="937">
        <f t="shared" si="53"/>
        <v>43742</v>
      </c>
      <c r="R639" s="1034" t="s">
        <v>4223</v>
      </c>
      <c r="S639" s="936"/>
      <c r="T639" s="936"/>
      <c r="U639" s="936"/>
    </row>
    <row r="640" spans="1:21" ht="25.5" hidden="1">
      <c r="A640" s="936" t="s">
        <v>2479</v>
      </c>
      <c r="B640" s="937">
        <v>43742</v>
      </c>
      <c r="C640" s="936">
        <v>4</v>
      </c>
      <c r="D640" s="936">
        <v>4</v>
      </c>
      <c r="E640" s="936"/>
      <c r="F640" s="936"/>
      <c r="G640" s="1035" t="s">
        <v>2688</v>
      </c>
      <c r="H640" s="939"/>
      <c r="I640" s="939" t="s">
        <v>2313</v>
      </c>
      <c r="J640" s="939"/>
      <c r="K640" s="939"/>
      <c r="L640" s="939"/>
      <c r="M640" s="1035"/>
      <c r="N640" s="1035" t="s">
        <v>2617</v>
      </c>
      <c r="O640" s="939" t="s">
        <v>1154</v>
      </c>
      <c r="P640" s="937">
        <f t="shared" si="51"/>
        <v>43742</v>
      </c>
      <c r="Q640" s="937">
        <f t="shared" si="53"/>
        <v>43742</v>
      </c>
      <c r="R640" s="1034" t="s">
        <v>4223</v>
      </c>
      <c r="S640" s="936"/>
      <c r="T640" s="936"/>
      <c r="U640" s="936"/>
    </row>
    <row r="641" spans="1:21" ht="25.5" hidden="1">
      <c r="A641" s="936" t="s">
        <v>2479</v>
      </c>
      <c r="B641" s="937">
        <v>43742</v>
      </c>
      <c r="C641" s="936">
        <v>4</v>
      </c>
      <c r="D641" s="936">
        <v>4</v>
      </c>
      <c r="E641" s="945" t="s">
        <v>1256</v>
      </c>
      <c r="F641" s="945"/>
      <c r="G641" s="1035" t="s">
        <v>2689</v>
      </c>
      <c r="H641" s="939"/>
      <c r="I641" s="939" t="s">
        <v>550</v>
      </c>
      <c r="J641" s="939"/>
      <c r="K641" s="939"/>
      <c r="L641" s="939"/>
      <c r="M641" s="1035" t="s">
        <v>2690</v>
      </c>
      <c r="N641" s="1035" t="s">
        <v>2483</v>
      </c>
      <c r="O641" s="939" t="s">
        <v>76</v>
      </c>
      <c r="P641" s="937">
        <f t="shared" si="51"/>
        <v>43742</v>
      </c>
      <c r="Q641" s="937">
        <f t="shared" si="53"/>
        <v>43742</v>
      </c>
      <c r="R641" s="1034" t="s">
        <v>4223</v>
      </c>
      <c r="S641" s="936"/>
      <c r="T641" s="936"/>
      <c r="U641" s="936"/>
    </row>
    <row r="642" spans="1:21" ht="25.5" hidden="1">
      <c r="A642" s="936" t="s">
        <v>2479</v>
      </c>
      <c r="B642" s="937">
        <v>43742</v>
      </c>
      <c r="C642" s="936">
        <v>4</v>
      </c>
      <c r="D642" s="936">
        <v>4</v>
      </c>
      <c r="E642" s="945" t="s">
        <v>1262</v>
      </c>
      <c r="F642" s="945"/>
      <c r="G642" s="1035" t="s">
        <v>2691</v>
      </c>
      <c r="H642" s="939"/>
      <c r="I642" s="939" t="s">
        <v>550</v>
      </c>
      <c r="J642" s="939"/>
      <c r="K642" s="939"/>
      <c r="L642" s="939"/>
      <c r="M642" s="1035" t="s">
        <v>2690</v>
      </c>
      <c r="N642" s="1035" t="s">
        <v>2483</v>
      </c>
      <c r="O642" s="939" t="s">
        <v>76</v>
      </c>
      <c r="P642" s="937">
        <f t="shared" ref="P642:P673" si="54">B642</f>
        <v>43742</v>
      </c>
      <c r="Q642" s="937">
        <f t="shared" si="53"/>
        <v>43742</v>
      </c>
      <c r="R642" s="1034" t="s">
        <v>4223</v>
      </c>
      <c r="S642" s="936"/>
      <c r="T642" s="936"/>
      <c r="U642" s="936"/>
    </row>
    <row r="643" spans="1:21" ht="25.5" hidden="1">
      <c r="A643" s="936" t="s">
        <v>2479</v>
      </c>
      <c r="B643" s="937">
        <v>43742</v>
      </c>
      <c r="C643" s="936">
        <v>4</v>
      </c>
      <c r="D643" s="936">
        <v>4</v>
      </c>
      <c r="E643" s="945" t="s">
        <v>1321</v>
      </c>
      <c r="F643" s="945"/>
      <c r="G643" s="1035" t="s">
        <v>2692</v>
      </c>
      <c r="H643" s="939"/>
      <c r="I643" s="939" t="s">
        <v>550</v>
      </c>
      <c r="J643" s="939"/>
      <c r="K643" s="939"/>
      <c r="L643" s="939"/>
      <c r="M643" s="1035" t="s">
        <v>2693</v>
      </c>
      <c r="N643" s="1035" t="s">
        <v>2483</v>
      </c>
      <c r="O643" s="939" t="s">
        <v>76</v>
      </c>
      <c r="P643" s="937">
        <f t="shared" si="54"/>
        <v>43742</v>
      </c>
      <c r="Q643" s="937">
        <f t="shared" si="53"/>
        <v>43742</v>
      </c>
      <c r="R643" s="1034" t="s">
        <v>4223</v>
      </c>
      <c r="S643" s="936"/>
      <c r="T643" s="936"/>
      <c r="U643" s="936"/>
    </row>
    <row r="644" spans="1:21" ht="25.5" hidden="1">
      <c r="A644" s="936" t="s">
        <v>2479</v>
      </c>
      <c r="B644" s="937">
        <v>43742</v>
      </c>
      <c r="C644" s="936">
        <v>4</v>
      </c>
      <c r="D644" s="936">
        <v>4</v>
      </c>
      <c r="E644" s="945" t="s">
        <v>1316</v>
      </c>
      <c r="F644" s="945"/>
      <c r="G644" s="1035" t="s">
        <v>2694</v>
      </c>
      <c r="H644" s="939"/>
      <c r="I644" s="939" t="s">
        <v>550</v>
      </c>
      <c r="J644" s="939"/>
      <c r="K644" s="939"/>
      <c r="L644" s="939"/>
      <c r="M644" s="1035" t="s">
        <v>2693</v>
      </c>
      <c r="N644" s="1035" t="s">
        <v>2483</v>
      </c>
      <c r="O644" s="939" t="s">
        <v>76</v>
      </c>
      <c r="P644" s="937">
        <f t="shared" si="54"/>
        <v>43742</v>
      </c>
      <c r="Q644" s="937">
        <f t="shared" si="53"/>
        <v>43742</v>
      </c>
      <c r="R644" s="1034" t="s">
        <v>4223</v>
      </c>
      <c r="S644" s="936"/>
      <c r="T644" s="936"/>
      <c r="U644" s="936"/>
    </row>
    <row r="645" spans="1:21" ht="25.5" hidden="1">
      <c r="A645" s="936" t="s">
        <v>2479</v>
      </c>
      <c r="B645" s="937">
        <v>43742</v>
      </c>
      <c r="C645" s="936">
        <v>4</v>
      </c>
      <c r="D645" s="936">
        <v>4</v>
      </c>
      <c r="E645" s="945" t="s">
        <v>1360</v>
      </c>
      <c r="F645" s="945"/>
      <c r="G645" s="1035" t="s">
        <v>2695</v>
      </c>
      <c r="H645" s="939"/>
      <c r="I645" s="939" t="s">
        <v>550</v>
      </c>
      <c r="J645" s="939"/>
      <c r="K645" s="939"/>
      <c r="L645" s="939"/>
      <c r="M645" s="1035" t="s">
        <v>2650</v>
      </c>
      <c r="N645" s="1035" t="s">
        <v>2483</v>
      </c>
      <c r="O645" s="939" t="s">
        <v>76</v>
      </c>
      <c r="P645" s="937">
        <f t="shared" si="54"/>
        <v>43742</v>
      </c>
      <c r="Q645" s="937">
        <f t="shared" si="53"/>
        <v>43742</v>
      </c>
      <c r="R645" s="1034" t="s">
        <v>4223</v>
      </c>
      <c r="S645" s="936"/>
      <c r="T645" s="936"/>
      <c r="U645" s="936"/>
    </row>
    <row r="646" spans="1:21" hidden="1">
      <c r="A646" s="936" t="s">
        <v>2479</v>
      </c>
      <c r="B646" s="937">
        <v>43742</v>
      </c>
      <c r="C646" s="936">
        <v>4</v>
      </c>
      <c r="D646" s="936">
        <v>4</v>
      </c>
      <c r="E646" s="945" t="s">
        <v>1349</v>
      </c>
      <c r="F646" s="945"/>
      <c r="G646" s="1035" t="s">
        <v>2696</v>
      </c>
      <c r="H646" s="939"/>
      <c r="I646" s="939" t="s">
        <v>550</v>
      </c>
      <c r="J646" s="939"/>
      <c r="K646" s="939"/>
      <c r="L646" s="939"/>
      <c r="M646" s="1035" t="s">
        <v>2650</v>
      </c>
      <c r="N646" s="1035" t="s">
        <v>2483</v>
      </c>
      <c r="O646" s="939" t="s">
        <v>76</v>
      </c>
      <c r="P646" s="937">
        <f t="shared" si="54"/>
        <v>43742</v>
      </c>
      <c r="Q646" s="937">
        <f t="shared" si="53"/>
        <v>43742</v>
      </c>
      <c r="R646" s="1034" t="s">
        <v>4223</v>
      </c>
      <c r="S646" s="936"/>
      <c r="T646" s="936"/>
      <c r="U646" s="936"/>
    </row>
    <row r="647" spans="1:21" ht="25.5" hidden="1">
      <c r="A647" s="936" t="s">
        <v>2479</v>
      </c>
      <c r="B647" s="937">
        <v>43742</v>
      </c>
      <c r="C647" s="936">
        <v>4</v>
      </c>
      <c r="D647" s="936">
        <v>4</v>
      </c>
      <c r="E647" s="945" t="s">
        <v>1394</v>
      </c>
      <c r="F647" s="945"/>
      <c r="G647" s="1035" t="s">
        <v>2697</v>
      </c>
      <c r="H647" s="939"/>
      <c r="I647" s="939" t="s">
        <v>550</v>
      </c>
      <c r="J647" s="939"/>
      <c r="K647" s="939"/>
      <c r="L647" s="939"/>
      <c r="M647" s="1035" t="s">
        <v>2545</v>
      </c>
      <c r="N647" s="1035" t="s">
        <v>2483</v>
      </c>
      <c r="O647" s="939" t="s">
        <v>76</v>
      </c>
      <c r="P647" s="937">
        <f t="shared" si="54"/>
        <v>43742</v>
      </c>
      <c r="Q647" s="937">
        <f t="shared" si="53"/>
        <v>43742</v>
      </c>
      <c r="R647" s="1034" t="s">
        <v>4223</v>
      </c>
      <c r="S647" s="936"/>
      <c r="T647" s="936"/>
      <c r="U647" s="936"/>
    </row>
    <row r="648" spans="1:21" ht="22.5" hidden="1" customHeight="1">
      <c r="A648" s="936" t="s">
        <v>2479</v>
      </c>
      <c r="B648" s="937">
        <v>43742</v>
      </c>
      <c r="C648" s="936">
        <v>4</v>
      </c>
      <c r="D648" s="936">
        <v>4</v>
      </c>
      <c r="E648" s="945" t="s">
        <v>1355</v>
      </c>
      <c r="F648" s="945"/>
      <c r="G648" s="1035" t="s">
        <v>2698</v>
      </c>
      <c r="H648" s="939"/>
      <c r="I648" s="939" t="s">
        <v>550</v>
      </c>
      <c r="J648" s="939"/>
      <c r="K648" s="939"/>
      <c r="L648" s="939"/>
      <c r="M648" s="1035" t="s">
        <v>2650</v>
      </c>
      <c r="N648" s="1035" t="s">
        <v>2483</v>
      </c>
      <c r="O648" s="939" t="s">
        <v>76</v>
      </c>
      <c r="P648" s="937">
        <f t="shared" si="54"/>
        <v>43742</v>
      </c>
      <c r="Q648" s="937">
        <f t="shared" si="53"/>
        <v>43742</v>
      </c>
      <c r="R648" s="1034" t="s">
        <v>4223</v>
      </c>
      <c r="S648" s="936"/>
      <c r="T648" s="936"/>
      <c r="U648" s="936"/>
    </row>
    <row r="649" spans="1:21" ht="28.5" hidden="1" customHeight="1">
      <c r="A649" s="936" t="s">
        <v>2479</v>
      </c>
      <c r="B649" s="937">
        <v>43742</v>
      </c>
      <c r="C649" s="936">
        <v>4</v>
      </c>
      <c r="D649" s="936">
        <v>4</v>
      </c>
      <c r="E649" s="945" t="s">
        <v>1349</v>
      </c>
      <c r="F649" s="945"/>
      <c r="G649" s="1035" t="s">
        <v>2699</v>
      </c>
      <c r="H649" s="939"/>
      <c r="I649" s="939" t="s">
        <v>550</v>
      </c>
      <c r="J649" s="939"/>
      <c r="K649" s="939"/>
      <c r="L649" s="939"/>
      <c r="M649" s="1035" t="s">
        <v>2650</v>
      </c>
      <c r="N649" s="1035" t="s">
        <v>2483</v>
      </c>
      <c r="O649" s="939" t="s">
        <v>76</v>
      </c>
      <c r="P649" s="937">
        <f t="shared" si="54"/>
        <v>43742</v>
      </c>
      <c r="Q649" s="937">
        <f t="shared" si="53"/>
        <v>43742</v>
      </c>
      <c r="R649" s="1034" t="s">
        <v>4223</v>
      </c>
      <c r="S649" s="936"/>
      <c r="T649" s="936"/>
      <c r="U649" s="936"/>
    </row>
    <row r="650" spans="1:21" ht="15" hidden="1" customHeight="1">
      <c r="A650" s="936" t="s">
        <v>2479</v>
      </c>
      <c r="B650" s="937">
        <v>43742</v>
      </c>
      <c r="C650" s="936">
        <v>4</v>
      </c>
      <c r="D650" s="936">
        <v>4</v>
      </c>
      <c r="E650" s="945" t="s">
        <v>1370</v>
      </c>
      <c r="F650" s="945"/>
      <c r="G650" s="1035" t="s">
        <v>2698</v>
      </c>
      <c r="H650" s="939"/>
      <c r="I650" s="939" t="s">
        <v>550</v>
      </c>
      <c r="J650" s="939"/>
      <c r="K650" s="939"/>
      <c r="L650" s="939"/>
      <c r="M650" s="1035" t="s">
        <v>2700</v>
      </c>
      <c r="N650" s="1035" t="s">
        <v>2483</v>
      </c>
      <c r="O650" s="939" t="s">
        <v>76</v>
      </c>
      <c r="P650" s="937">
        <f t="shared" si="54"/>
        <v>43742</v>
      </c>
      <c r="Q650" s="937">
        <f t="shared" si="53"/>
        <v>43742</v>
      </c>
      <c r="R650" s="1034" t="s">
        <v>4223</v>
      </c>
      <c r="S650" s="936"/>
      <c r="T650" s="936"/>
      <c r="U650" s="936"/>
    </row>
    <row r="651" spans="1:21" hidden="1">
      <c r="A651" s="936" t="s">
        <v>2479</v>
      </c>
      <c r="B651" s="937">
        <v>43742</v>
      </c>
      <c r="C651" s="936">
        <v>4</v>
      </c>
      <c r="D651" s="936">
        <v>4</v>
      </c>
      <c r="E651" s="945" t="s">
        <v>1365</v>
      </c>
      <c r="F651" s="945"/>
      <c r="G651" s="1035" t="s">
        <v>2701</v>
      </c>
      <c r="H651" s="939"/>
      <c r="I651" s="939" t="s">
        <v>550</v>
      </c>
      <c r="J651" s="939"/>
      <c r="K651" s="939"/>
      <c r="L651" s="939"/>
      <c r="M651" s="1035" t="s">
        <v>2700</v>
      </c>
      <c r="N651" s="1035" t="s">
        <v>2483</v>
      </c>
      <c r="O651" s="939" t="s">
        <v>76</v>
      </c>
      <c r="P651" s="937">
        <f t="shared" si="54"/>
        <v>43742</v>
      </c>
      <c r="Q651" s="937">
        <f t="shared" si="53"/>
        <v>43742</v>
      </c>
      <c r="R651" s="1034" t="s">
        <v>4223</v>
      </c>
      <c r="S651" s="936"/>
      <c r="T651" s="936"/>
      <c r="U651" s="936"/>
    </row>
    <row r="652" spans="1:21" ht="27.75" hidden="1" customHeight="1">
      <c r="A652" s="936" t="s">
        <v>2479</v>
      </c>
      <c r="B652" s="937">
        <v>43742</v>
      </c>
      <c r="C652" s="936">
        <v>4</v>
      </c>
      <c r="D652" s="936">
        <v>4</v>
      </c>
      <c r="E652" s="945" t="s">
        <v>1376</v>
      </c>
      <c r="F652" s="945"/>
      <c r="G652" s="1035" t="s">
        <v>2702</v>
      </c>
      <c r="H652" s="939"/>
      <c r="I652" s="939" t="s">
        <v>550</v>
      </c>
      <c r="J652" s="939"/>
      <c r="K652" s="939"/>
      <c r="L652" s="939"/>
      <c r="M652" s="1035" t="s">
        <v>2700</v>
      </c>
      <c r="N652" s="1035" t="s">
        <v>2483</v>
      </c>
      <c r="O652" s="939" t="s">
        <v>76</v>
      </c>
      <c r="P652" s="937">
        <f t="shared" si="54"/>
        <v>43742</v>
      </c>
      <c r="Q652" s="937">
        <f t="shared" si="53"/>
        <v>43742</v>
      </c>
      <c r="R652" s="1034" t="s">
        <v>4223</v>
      </c>
      <c r="S652" s="936"/>
      <c r="T652" s="936"/>
      <c r="U652" s="936"/>
    </row>
    <row r="653" spans="1:21" ht="25.5" hidden="1">
      <c r="A653" s="936" t="s">
        <v>2479</v>
      </c>
      <c r="B653" s="937">
        <v>43742</v>
      </c>
      <c r="C653" s="936">
        <v>4</v>
      </c>
      <c r="D653" s="936">
        <v>4</v>
      </c>
      <c r="E653" s="945" t="s">
        <v>1188</v>
      </c>
      <c r="F653" s="945"/>
      <c r="G653" s="1035" t="s">
        <v>2692</v>
      </c>
      <c r="H653" s="939"/>
      <c r="I653" s="939" t="s">
        <v>550</v>
      </c>
      <c r="J653" s="939"/>
      <c r="K653" s="939"/>
      <c r="L653" s="939"/>
      <c r="M653" s="1035" t="s">
        <v>2622</v>
      </c>
      <c r="N653" s="1035" t="s">
        <v>2483</v>
      </c>
      <c r="O653" s="939" t="s">
        <v>76</v>
      </c>
      <c r="P653" s="937">
        <f t="shared" si="54"/>
        <v>43742</v>
      </c>
      <c r="Q653" s="937">
        <f t="shared" si="53"/>
        <v>43742</v>
      </c>
      <c r="R653" s="1034" t="s">
        <v>4223</v>
      </c>
      <c r="S653" s="936"/>
      <c r="T653" s="936"/>
      <c r="U653" s="936"/>
    </row>
    <row r="654" spans="1:21" ht="25.5" hidden="1">
      <c r="A654" s="936" t="s">
        <v>2479</v>
      </c>
      <c r="B654" s="937">
        <v>43742</v>
      </c>
      <c r="C654" s="936">
        <v>4</v>
      </c>
      <c r="D654" s="936">
        <v>5</v>
      </c>
      <c r="E654" s="945" t="s">
        <v>1191</v>
      </c>
      <c r="F654" s="945"/>
      <c r="G654" s="1035" t="s">
        <v>2703</v>
      </c>
      <c r="H654" s="939"/>
      <c r="I654" s="939" t="s">
        <v>550</v>
      </c>
      <c r="J654" s="939"/>
      <c r="K654" s="939"/>
      <c r="L654" s="939"/>
      <c r="M654" s="1035" t="s">
        <v>2622</v>
      </c>
      <c r="N654" s="1035" t="s">
        <v>2483</v>
      </c>
      <c r="O654" s="939" t="s">
        <v>76</v>
      </c>
      <c r="P654" s="937">
        <f t="shared" si="54"/>
        <v>43742</v>
      </c>
      <c r="Q654" s="937">
        <f t="shared" si="53"/>
        <v>43742</v>
      </c>
      <c r="R654" s="1034" t="s">
        <v>4223</v>
      </c>
      <c r="S654" s="936"/>
      <c r="T654" s="936"/>
      <c r="U654" s="936"/>
    </row>
    <row r="655" spans="1:21" hidden="1">
      <c r="A655" s="936" t="s">
        <v>2479</v>
      </c>
      <c r="B655" s="937">
        <v>43742</v>
      </c>
      <c r="C655" s="936">
        <v>4</v>
      </c>
      <c r="D655" s="936">
        <v>5</v>
      </c>
      <c r="E655" s="936"/>
      <c r="F655" s="936"/>
      <c r="G655" s="1035" t="s">
        <v>2704</v>
      </c>
      <c r="H655" s="939"/>
      <c r="I655" s="939" t="s">
        <v>2313</v>
      </c>
      <c r="J655" s="939"/>
      <c r="K655" s="939"/>
      <c r="L655" s="939"/>
      <c r="M655" s="1035" t="s">
        <v>2622</v>
      </c>
      <c r="N655" s="1035" t="s">
        <v>2483</v>
      </c>
      <c r="O655" s="939" t="s">
        <v>76</v>
      </c>
      <c r="P655" s="937">
        <f t="shared" si="54"/>
        <v>43742</v>
      </c>
      <c r="Q655" s="937">
        <f t="shared" si="53"/>
        <v>43742</v>
      </c>
      <c r="R655" s="1034" t="s">
        <v>4223</v>
      </c>
      <c r="S655" s="936"/>
      <c r="T655" s="936"/>
      <c r="U655" s="936"/>
    </row>
    <row r="656" spans="1:21" hidden="1">
      <c r="A656" s="936" t="s">
        <v>2479</v>
      </c>
      <c r="B656" s="937">
        <v>43742</v>
      </c>
      <c r="C656" s="936">
        <v>4</v>
      </c>
      <c r="D656" s="936">
        <v>5</v>
      </c>
      <c r="E656" s="945" t="s">
        <v>1296</v>
      </c>
      <c r="F656" s="945"/>
      <c r="G656" s="1035" t="s">
        <v>2705</v>
      </c>
      <c r="H656" s="939"/>
      <c r="I656" s="939" t="s">
        <v>550</v>
      </c>
      <c r="J656" s="939"/>
      <c r="K656" s="939"/>
      <c r="L656" s="939"/>
      <c r="M656" s="1035" t="s">
        <v>2706</v>
      </c>
      <c r="N656" s="1035" t="s">
        <v>2541</v>
      </c>
      <c r="O656" s="939" t="s">
        <v>76</v>
      </c>
      <c r="P656" s="937">
        <f t="shared" si="54"/>
        <v>43742</v>
      </c>
      <c r="Q656" s="937">
        <f t="shared" si="53"/>
        <v>43742</v>
      </c>
      <c r="R656" s="1034" t="s">
        <v>4223</v>
      </c>
      <c r="S656" s="936"/>
      <c r="T656" s="936"/>
      <c r="U656" s="936"/>
    </row>
    <row r="657" spans="1:21" hidden="1">
      <c r="A657" s="936" t="s">
        <v>2479</v>
      </c>
      <c r="B657" s="937">
        <v>43742</v>
      </c>
      <c r="C657" s="936">
        <v>4</v>
      </c>
      <c r="D657" s="936">
        <v>5</v>
      </c>
      <c r="E657" s="945" t="s">
        <v>1252</v>
      </c>
      <c r="F657" s="945"/>
      <c r="G657" s="1035" t="s">
        <v>2707</v>
      </c>
      <c r="H657" s="939"/>
      <c r="I657" s="939" t="s">
        <v>550</v>
      </c>
      <c r="J657" s="939"/>
      <c r="K657" s="939"/>
      <c r="L657" s="939"/>
      <c r="M657" s="1035" t="s">
        <v>2573</v>
      </c>
      <c r="N657" s="1035" t="s">
        <v>2541</v>
      </c>
      <c r="O657" s="939" t="s">
        <v>76</v>
      </c>
      <c r="P657" s="937">
        <f t="shared" si="54"/>
        <v>43742</v>
      </c>
      <c r="Q657" s="937">
        <f t="shared" si="53"/>
        <v>43742</v>
      </c>
      <c r="R657" s="1034" t="s">
        <v>4223</v>
      </c>
      <c r="S657" s="936"/>
      <c r="T657" s="936"/>
      <c r="U657" s="936"/>
    </row>
    <row r="658" spans="1:21" hidden="1">
      <c r="A658" s="936" t="s">
        <v>2479</v>
      </c>
      <c r="B658" s="937">
        <v>43742</v>
      </c>
      <c r="C658" s="936">
        <v>4</v>
      </c>
      <c r="D658" s="936">
        <v>5</v>
      </c>
      <c r="E658" s="945" t="s">
        <v>1299</v>
      </c>
      <c r="F658" s="945"/>
      <c r="G658" s="1035" t="s">
        <v>2708</v>
      </c>
      <c r="H658" s="939"/>
      <c r="I658" s="939" t="s">
        <v>550</v>
      </c>
      <c r="J658" s="939"/>
      <c r="K658" s="939"/>
      <c r="L658" s="939"/>
      <c r="M658" s="1035" t="s">
        <v>2573</v>
      </c>
      <c r="N658" s="1035" t="s">
        <v>2541</v>
      </c>
      <c r="O658" s="939" t="s">
        <v>76</v>
      </c>
      <c r="P658" s="937">
        <f t="shared" si="54"/>
        <v>43742</v>
      </c>
      <c r="Q658" s="937">
        <f t="shared" si="53"/>
        <v>43742</v>
      </c>
      <c r="R658" s="1034" t="s">
        <v>4223</v>
      </c>
      <c r="S658" s="936"/>
      <c r="T658" s="936"/>
      <c r="U658" s="936"/>
    </row>
    <row r="659" spans="1:21" hidden="1">
      <c r="A659" s="936" t="s">
        <v>2479</v>
      </c>
      <c r="B659" s="937">
        <v>43742</v>
      </c>
      <c r="C659" s="936">
        <v>4</v>
      </c>
      <c r="D659" s="936">
        <v>5</v>
      </c>
      <c r="E659" s="945" t="s">
        <v>1383</v>
      </c>
      <c r="F659" s="945"/>
      <c r="G659" s="1035" t="s">
        <v>2707</v>
      </c>
      <c r="H659" s="939"/>
      <c r="I659" s="939" t="s">
        <v>550</v>
      </c>
      <c r="J659" s="939"/>
      <c r="K659" s="939"/>
      <c r="L659" s="939"/>
      <c r="M659" s="1035" t="s">
        <v>2491</v>
      </c>
      <c r="N659" s="1035" t="s">
        <v>2541</v>
      </c>
      <c r="O659" s="939" t="s">
        <v>76</v>
      </c>
      <c r="P659" s="937">
        <f t="shared" si="54"/>
        <v>43742</v>
      </c>
      <c r="Q659" s="937">
        <f t="shared" si="53"/>
        <v>43742</v>
      </c>
      <c r="R659" s="1034" t="s">
        <v>4223</v>
      </c>
      <c r="S659" s="936"/>
      <c r="T659" s="936"/>
      <c r="U659" s="936"/>
    </row>
    <row r="660" spans="1:21" ht="25.5" hidden="1">
      <c r="A660" s="936" t="s">
        <v>2479</v>
      </c>
      <c r="B660" s="937">
        <v>43742</v>
      </c>
      <c r="C660" s="936">
        <v>4</v>
      </c>
      <c r="D660" s="936">
        <v>5</v>
      </c>
      <c r="E660" s="945" t="s">
        <v>1241</v>
      </c>
      <c r="F660" s="945"/>
      <c r="G660" s="1035" t="s">
        <v>2691</v>
      </c>
      <c r="H660" s="939"/>
      <c r="I660" s="939" t="s">
        <v>550</v>
      </c>
      <c r="J660" s="939"/>
      <c r="K660" s="939"/>
      <c r="L660" s="939"/>
      <c r="M660" s="1035" t="s">
        <v>2531</v>
      </c>
      <c r="N660" s="1035" t="s">
        <v>2527</v>
      </c>
      <c r="O660" s="939" t="s">
        <v>76</v>
      </c>
      <c r="P660" s="937">
        <f t="shared" si="54"/>
        <v>43742</v>
      </c>
      <c r="Q660" s="937">
        <f t="shared" si="53"/>
        <v>43742</v>
      </c>
      <c r="R660" s="1034" t="s">
        <v>4223</v>
      </c>
      <c r="S660" s="936"/>
      <c r="T660" s="936"/>
      <c r="U660" s="936"/>
    </row>
    <row r="661" spans="1:21" ht="25.5" hidden="1">
      <c r="A661" s="936" t="s">
        <v>2479</v>
      </c>
      <c r="B661" s="937">
        <v>43742</v>
      </c>
      <c r="C661" s="936">
        <v>4</v>
      </c>
      <c r="D661" s="936">
        <v>5</v>
      </c>
      <c r="E661" s="945" t="s">
        <v>1241</v>
      </c>
      <c r="F661" s="945"/>
      <c r="G661" s="1035" t="s">
        <v>2709</v>
      </c>
      <c r="H661" s="939"/>
      <c r="I661" s="939" t="s">
        <v>550</v>
      </c>
      <c r="J661" s="939"/>
      <c r="K661" s="939"/>
      <c r="L661" s="939"/>
      <c r="M661" s="1035" t="s">
        <v>2531</v>
      </c>
      <c r="N661" s="1035" t="s">
        <v>2527</v>
      </c>
      <c r="O661" s="939" t="s">
        <v>76</v>
      </c>
      <c r="P661" s="937">
        <f t="shared" si="54"/>
        <v>43742</v>
      </c>
      <c r="Q661" s="937">
        <f t="shared" si="53"/>
        <v>43742</v>
      </c>
      <c r="R661" s="1034" t="s">
        <v>4223</v>
      </c>
      <c r="S661" s="936"/>
      <c r="T661" s="936"/>
      <c r="U661" s="936"/>
    </row>
    <row r="662" spans="1:21" hidden="1">
      <c r="A662" s="936" t="s">
        <v>2479</v>
      </c>
      <c r="B662" s="937">
        <v>43742</v>
      </c>
      <c r="C662" s="936">
        <v>4</v>
      </c>
      <c r="D662" s="936">
        <v>5</v>
      </c>
      <c r="E662" s="945" t="s">
        <v>1241</v>
      </c>
      <c r="F662" s="945"/>
      <c r="G662" s="1035" t="s">
        <v>2710</v>
      </c>
      <c r="H662" s="939"/>
      <c r="I662" s="939" t="s">
        <v>550</v>
      </c>
      <c r="J662" s="939"/>
      <c r="K662" s="939"/>
      <c r="L662" s="939"/>
      <c r="M662" s="1035" t="s">
        <v>2531</v>
      </c>
      <c r="N662" s="1035" t="s">
        <v>2527</v>
      </c>
      <c r="O662" s="939" t="s">
        <v>76</v>
      </c>
      <c r="P662" s="937">
        <f t="shared" si="54"/>
        <v>43742</v>
      </c>
      <c r="Q662" s="937">
        <f t="shared" si="53"/>
        <v>43742</v>
      </c>
      <c r="R662" s="1034" t="s">
        <v>4223</v>
      </c>
      <c r="S662" s="936"/>
      <c r="T662" s="936"/>
      <c r="U662" s="936"/>
    </row>
    <row r="663" spans="1:21" ht="25.5" hidden="1">
      <c r="A663" s="936" t="s">
        <v>2479</v>
      </c>
      <c r="B663" s="937">
        <v>43742</v>
      </c>
      <c r="C663" s="936">
        <v>4</v>
      </c>
      <c r="D663" s="936">
        <v>5</v>
      </c>
      <c r="E663" s="945" t="s">
        <v>1265</v>
      </c>
      <c r="F663" s="945"/>
      <c r="G663" s="1035" t="s">
        <v>2711</v>
      </c>
      <c r="H663" s="939"/>
      <c r="I663" s="939" t="s">
        <v>550</v>
      </c>
      <c r="J663" s="939"/>
      <c r="K663" s="939"/>
      <c r="L663" s="939"/>
      <c r="M663" s="1035" t="s">
        <v>2589</v>
      </c>
      <c r="N663" s="1035" t="s">
        <v>2527</v>
      </c>
      <c r="O663" s="939" t="s">
        <v>76</v>
      </c>
      <c r="P663" s="937">
        <f t="shared" si="54"/>
        <v>43742</v>
      </c>
      <c r="Q663" s="937">
        <f t="shared" si="53"/>
        <v>43742</v>
      </c>
      <c r="R663" s="1034" t="s">
        <v>4223</v>
      </c>
      <c r="S663" s="936"/>
      <c r="T663" s="936"/>
      <c r="U663" s="936"/>
    </row>
    <row r="664" spans="1:21" hidden="1">
      <c r="A664" s="936" t="s">
        <v>2479</v>
      </c>
      <c r="B664" s="937">
        <v>43742</v>
      </c>
      <c r="C664" s="936">
        <v>4</v>
      </c>
      <c r="D664" s="936">
        <v>5</v>
      </c>
      <c r="E664" s="945" t="s">
        <v>1248</v>
      </c>
      <c r="F664" s="945"/>
      <c r="G664" s="1035" t="s">
        <v>2712</v>
      </c>
      <c r="H664" s="939"/>
      <c r="I664" s="939" t="s">
        <v>550</v>
      </c>
      <c r="J664" s="939"/>
      <c r="K664" s="939"/>
      <c r="L664" s="939"/>
      <c r="M664" s="1035" t="s">
        <v>2706</v>
      </c>
      <c r="N664" s="1035" t="s">
        <v>2527</v>
      </c>
      <c r="O664" s="939" t="s">
        <v>76</v>
      </c>
      <c r="P664" s="937">
        <f t="shared" si="54"/>
        <v>43742</v>
      </c>
      <c r="Q664" s="937">
        <f t="shared" si="53"/>
        <v>43742</v>
      </c>
      <c r="R664" s="1034" t="s">
        <v>4223</v>
      </c>
      <c r="S664" s="936"/>
      <c r="T664" s="936"/>
      <c r="U664" s="936"/>
    </row>
    <row r="665" spans="1:21" ht="36.75" hidden="1" customHeight="1">
      <c r="A665" s="936" t="s">
        <v>2479</v>
      </c>
      <c r="B665" s="937">
        <v>43742</v>
      </c>
      <c r="C665" s="936">
        <v>4</v>
      </c>
      <c r="D665" s="936">
        <v>5</v>
      </c>
      <c r="E665" s="945" t="s">
        <v>1248</v>
      </c>
      <c r="F665" s="945"/>
      <c r="G665" s="1035" t="s">
        <v>2713</v>
      </c>
      <c r="H665" s="939"/>
      <c r="I665" s="939" t="s">
        <v>550</v>
      </c>
      <c r="J665" s="939"/>
      <c r="K665" s="939"/>
      <c r="L665" s="939"/>
      <c r="M665" s="1035" t="s">
        <v>2706</v>
      </c>
      <c r="N665" s="1035" t="s">
        <v>2527</v>
      </c>
      <c r="O665" s="939" t="s">
        <v>76</v>
      </c>
      <c r="P665" s="937">
        <f t="shared" si="54"/>
        <v>43742</v>
      </c>
      <c r="Q665" s="937">
        <f t="shared" si="53"/>
        <v>43742</v>
      </c>
      <c r="R665" s="1034" t="s">
        <v>4223</v>
      </c>
      <c r="S665" s="936"/>
      <c r="T665" s="936"/>
      <c r="U665" s="936"/>
    </row>
    <row r="666" spans="1:21" ht="27.75" hidden="1" customHeight="1">
      <c r="A666" s="936" t="s">
        <v>2479</v>
      </c>
      <c r="B666" s="937">
        <v>43742</v>
      </c>
      <c r="C666" s="936">
        <v>4</v>
      </c>
      <c r="D666" s="936">
        <v>5</v>
      </c>
      <c r="E666" s="945" t="s">
        <v>1303</v>
      </c>
      <c r="F666" s="945"/>
      <c r="G666" s="1035" t="s">
        <v>2714</v>
      </c>
      <c r="H666" s="939"/>
      <c r="I666" s="939" t="s">
        <v>550</v>
      </c>
      <c r="J666" s="939"/>
      <c r="K666" s="939"/>
      <c r="L666" s="939"/>
      <c r="M666" s="1035" t="s">
        <v>2715</v>
      </c>
      <c r="N666" s="1035" t="s">
        <v>2527</v>
      </c>
      <c r="O666" s="939" t="s">
        <v>76</v>
      </c>
      <c r="P666" s="937">
        <f t="shared" si="54"/>
        <v>43742</v>
      </c>
      <c r="Q666" s="937">
        <f t="shared" si="53"/>
        <v>43742</v>
      </c>
      <c r="R666" s="1034" t="s">
        <v>4223</v>
      </c>
      <c r="S666" s="936"/>
      <c r="T666" s="936"/>
      <c r="U666" s="936"/>
    </row>
    <row r="667" spans="1:21" ht="33" hidden="1" customHeight="1">
      <c r="A667" s="936" t="s">
        <v>2479</v>
      </c>
      <c r="B667" s="937">
        <v>43742</v>
      </c>
      <c r="C667" s="936">
        <v>4</v>
      </c>
      <c r="D667" s="936">
        <v>5</v>
      </c>
      <c r="E667" s="945" t="s">
        <v>1309</v>
      </c>
      <c r="F667" s="945"/>
      <c r="G667" s="1035" t="s">
        <v>2716</v>
      </c>
      <c r="H667" s="939"/>
      <c r="I667" s="939" t="s">
        <v>550</v>
      </c>
      <c r="J667" s="939"/>
      <c r="K667" s="939"/>
      <c r="L667" s="939"/>
      <c r="M667" s="1035" t="s">
        <v>2715</v>
      </c>
      <c r="N667" s="1035" t="s">
        <v>2527</v>
      </c>
      <c r="O667" s="939" t="s">
        <v>76</v>
      </c>
      <c r="P667" s="937">
        <f t="shared" si="54"/>
        <v>43742</v>
      </c>
      <c r="Q667" s="937">
        <f t="shared" si="53"/>
        <v>43742</v>
      </c>
      <c r="R667" s="1034" t="s">
        <v>4223</v>
      </c>
      <c r="S667" s="936"/>
      <c r="T667" s="936"/>
      <c r="U667" s="936"/>
    </row>
    <row r="668" spans="1:21" hidden="1">
      <c r="A668" s="936" t="s">
        <v>2479</v>
      </c>
      <c r="B668" s="937">
        <v>43742</v>
      </c>
      <c r="C668" s="936">
        <v>4</v>
      </c>
      <c r="D668" s="936">
        <v>5</v>
      </c>
      <c r="E668" s="945" t="s">
        <v>1324</v>
      </c>
      <c r="F668" s="945"/>
      <c r="G668" s="1035" t="s">
        <v>2714</v>
      </c>
      <c r="H668" s="939"/>
      <c r="I668" s="939" t="s">
        <v>550</v>
      </c>
      <c r="J668" s="939"/>
      <c r="K668" s="939"/>
      <c r="L668" s="939"/>
      <c r="M668" s="1035" t="s">
        <v>2717</v>
      </c>
      <c r="N668" s="1035" t="s">
        <v>2527</v>
      </c>
      <c r="O668" s="939" t="s">
        <v>76</v>
      </c>
      <c r="P668" s="937">
        <f t="shared" si="54"/>
        <v>43742</v>
      </c>
      <c r="Q668" s="937">
        <f t="shared" si="53"/>
        <v>43742</v>
      </c>
      <c r="R668" s="1034" t="s">
        <v>4223</v>
      </c>
      <c r="S668" s="936"/>
      <c r="T668" s="936"/>
      <c r="U668" s="936"/>
    </row>
    <row r="669" spans="1:21" ht="27.75" hidden="1" customHeight="1">
      <c r="A669" s="936" t="s">
        <v>2479</v>
      </c>
      <c r="B669" s="937">
        <v>43742</v>
      </c>
      <c r="C669" s="936">
        <v>4</v>
      </c>
      <c r="D669" s="936">
        <v>5</v>
      </c>
      <c r="E669" s="945" t="s">
        <v>1324</v>
      </c>
      <c r="F669" s="945"/>
      <c r="G669" s="1035" t="s">
        <v>2718</v>
      </c>
      <c r="H669" s="939"/>
      <c r="I669" s="939" t="s">
        <v>550</v>
      </c>
      <c r="J669" s="939"/>
      <c r="K669" s="939"/>
      <c r="L669" s="939"/>
      <c r="M669" s="1035" t="s">
        <v>2717</v>
      </c>
      <c r="N669" s="1035" t="s">
        <v>2527</v>
      </c>
      <c r="O669" s="939" t="s">
        <v>76</v>
      </c>
      <c r="P669" s="937">
        <f t="shared" si="54"/>
        <v>43742</v>
      </c>
      <c r="Q669" s="937">
        <f t="shared" si="53"/>
        <v>43742</v>
      </c>
      <c r="R669" s="1034" t="s">
        <v>4223</v>
      </c>
      <c r="S669" s="936"/>
      <c r="T669" s="936"/>
      <c r="U669" s="936"/>
    </row>
    <row r="670" spans="1:21" hidden="1">
      <c r="A670" s="936" t="s">
        <v>2479</v>
      </c>
      <c r="B670" s="937">
        <v>43742</v>
      </c>
      <c r="C670" s="936">
        <v>4</v>
      </c>
      <c r="D670" s="936">
        <v>5</v>
      </c>
      <c r="E670" s="945" t="s">
        <v>1329</v>
      </c>
      <c r="F670" s="945"/>
      <c r="G670" s="1035" t="s">
        <v>2719</v>
      </c>
      <c r="H670" s="939"/>
      <c r="I670" s="939" t="s">
        <v>550</v>
      </c>
      <c r="J670" s="939"/>
      <c r="K670" s="939"/>
      <c r="L670" s="939"/>
      <c r="M670" s="1035" t="s">
        <v>2720</v>
      </c>
      <c r="N670" s="1035" t="s">
        <v>2527</v>
      </c>
      <c r="O670" s="939" t="s">
        <v>76</v>
      </c>
      <c r="P670" s="937">
        <f t="shared" si="54"/>
        <v>43742</v>
      </c>
      <c r="Q670" s="937">
        <f t="shared" si="53"/>
        <v>43742</v>
      </c>
      <c r="R670" s="1034" t="s">
        <v>4223</v>
      </c>
      <c r="S670" s="936"/>
      <c r="T670" s="936"/>
      <c r="U670" s="936"/>
    </row>
    <row r="671" spans="1:21" ht="27.75" hidden="1" customHeight="1">
      <c r="A671" s="936" t="s">
        <v>2479</v>
      </c>
      <c r="B671" s="937">
        <v>43742</v>
      </c>
      <c r="C671" s="936">
        <v>4</v>
      </c>
      <c r="D671" s="936">
        <v>5</v>
      </c>
      <c r="E671" s="945" t="s">
        <v>1332</v>
      </c>
      <c r="F671" s="945"/>
      <c r="G671" s="1035" t="s">
        <v>2721</v>
      </c>
      <c r="H671" s="939"/>
      <c r="I671" s="939" t="s">
        <v>550</v>
      </c>
      <c r="J671" s="939"/>
      <c r="K671" s="939"/>
      <c r="L671" s="939"/>
      <c r="M671" s="1035" t="s">
        <v>2720</v>
      </c>
      <c r="N671" s="1035" t="s">
        <v>2527</v>
      </c>
      <c r="O671" s="939" t="s">
        <v>76</v>
      </c>
      <c r="P671" s="937">
        <f t="shared" si="54"/>
        <v>43742</v>
      </c>
      <c r="Q671" s="937">
        <f t="shared" si="53"/>
        <v>43742</v>
      </c>
      <c r="R671" s="1034" t="s">
        <v>4223</v>
      </c>
      <c r="S671" s="936"/>
      <c r="T671" s="936"/>
      <c r="U671" s="936"/>
    </row>
    <row r="672" spans="1:21" ht="43.5" hidden="1" customHeight="1">
      <c r="A672" s="936" t="s">
        <v>2479</v>
      </c>
      <c r="B672" s="937">
        <v>43742</v>
      </c>
      <c r="C672" s="936">
        <v>4</v>
      </c>
      <c r="D672" s="936">
        <v>5</v>
      </c>
      <c r="E672" s="945" t="s">
        <v>1201</v>
      </c>
      <c r="F672" s="945"/>
      <c r="G672" s="1035" t="s">
        <v>2692</v>
      </c>
      <c r="H672" s="939"/>
      <c r="I672" s="939" t="s">
        <v>550</v>
      </c>
      <c r="J672" s="939"/>
      <c r="K672" s="939"/>
      <c r="L672" s="939"/>
      <c r="M672" s="1035" t="s">
        <v>2639</v>
      </c>
      <c r="N672" s="1035" t="s">
        <v>2527</v>
      </c>
      <c r="O672" s="939" t="s">
        <v>76</v>
      </c>
      <c r="P672" s="937">
        <f t="shared" si="54"/>
        <v>43742</v>
      </c>
      <c r="Q672" s="937">
        <f t="shared" si="53"/>
        <v>43742</v>
      </c>
      <c r="R672" s="1034" t="s">
        <v>4223</v>
      </c>
      <c r="S672" s="936"/>
      <c r="T672" s="936"/>
      <c r="U672" s="936"/>
    </row>
    <row r="673" spans="1:21" ht="54" hidden="1" customHeight="1">
      <c r="A673" s="936" t="s">
        <v>2479</v>
      </c>
      <c r="B673" s="937">
        <v>43742</v>
      </c>
      <c r="C673" s="936">
        <v>4</v>
      </c>
      <c r="D673" s="936">
        <v>5</v>
      </c>
      <c r="E673" s="945" t="s">
        <v>1198</v>
      </c>
      <c r="F673" s="945"/>
      <c r="G673" s="1035" t="s">
        <v>2722</v>
      </c>
      <c r="H673" s="939"/>
      <c r="I673" s="939" t="s">
        <v>550</v>
      </c>
      <c r="J673" s="939"/>
      <c r="K673" s="939"/>
      <c r="L673" s="939"/>
      <c r="M673" s="1035" t="s">
        <v>2639</v>
      </c>
      <c r="N673" s="1035" t="s">
        <v>2527</v>
      </c>
      <c r="O673" s="939" t="s">
        <v>76</v>
      </c>
      <c r="P673" s="937">
        <f t="shared" si="54"/>
        <v>43742</v>
      </c>
      <c r="Q673" s="937">
        <f t="shared" si="53"/>
        <v>43742</v>
      </c>
      <c r="R673" s="1034" t="s">
        <v>4223</v>
      </c>
      <c r="S673" s="936"/>
      <c r="T673" s="936"/>
      <c r="U673" s="936"/>
    </row>
    <row r="674" spans="1:21" ht="42.75" hidden="1" customHeight="1">
      <c r="A674" s="936" t="s">
        <v>2479</v>
      </c>
      <c r="B674" s="937">
        <v>43742</v>
      </c>
      <c r="C674" s="936">
        <v>4</v>
      </c>
      <c r="D674" s="936">
        <v>5</v>
      </c>
      <c r="E674" s="945" t="s">
        <v>1195</v>
      </c>
      <c r="F674" s="945"/>
      <c r="G674" s="1035" t="s">
        <v>2723</v>
      </c>
      <c r="H674" s="939"/>
      <c r="I674" s="939" t="s">
        <v>550</v>
      </c>
      <c r="J674" s="939"/>
      <c r="K674" s="939"/>
      <c r="L674" s="939"/>
      <c r="M674" s="1035" t="s">
        <v>2639</v>
      </c>
      <c r="N674" s="1035" t="s">
        <v>2527</v>
      </c>
      <c r="O674" s="939" t="s">
        <v>76</v>
      </c>
      <c r="P674" s="937">
        <f t="shared" ref="P674:P703" si="55">B674</f>
        <v>43742</v>
      </c>
      <c r="Q674" s="937">
        <f t="shared" si="53"/>
        <v>43742</v>
      </c>
      <c r="R674" s="1034" t="s">
        <v>4223</v>
      </c>
      <c r="S674" s="936"/>
      <c r="T674" s="936"/>
      <c r="U674" s="936"/>
    </row>
    <row r="675" spans="1:21" ht="40.5" hidden="1" customHeight="1">
      <c r="A675" s="936" t="s">
        <v>2479</v>
      </c>
      <c r="B675" s="937">
        <v>43742</v>
      </c>
      <c r="C675" s="936">
        <v>4</v>
      </c>
      <c r="D675" s="936">
        <v>5</v>
      </c>
      <c r="E675" s="945" t="s">
        <v>1388</v>
      </c>
      <c r="F675" s="945"/>
      <c r="G675" s="1035" t="s">
        <v>2724</v>
      </c>
      <c r="H675" s="939"/>
      <c r="I675" s="939" t="s">
        <v>550</v>
      </c>
      <c r="J675" s="939"/>
      <c r="K675" s="939"/>
      <c r="L675" s="939"/>
      <c r="M675" s="1035" t="s">
        <v>2639</v>
      </c>
      <c r="N675" s="1035" t="s">
        <v>2527</v>
      </c>
      <c r="O675" s="939" t="s">
        <v>76</v>
      </c>
      <c r="P675" s="937">
        <f t="shared" si="55"/>
        <v>43742</v>
      </c>
      <c r="Q675" s="937">
        <f t="shared" si="53"/>
        <v>43742</v>
      </c>
      <c r="R675" s="1034" t="s">
        <v>4223</v>
      </c>
      <c r="S675" s="936"/>
      <c r="T675" s="936"/>
      <c r="U675" s="936"/>
    </row>
    <row r="676" spans="1:21" hidden="1">
      <c r="A676" s="936" t="s">
        <v>2479</v>
      </c>
      <c r="B676" s="937">
        <v>43185</v>
      </c>
      <c r="C676" s="936">
        <v>4</v>
      </c>
      <c r="D676" s="936">
        <v>4</v>
      </c>
      <c r="E676" s="942" t="s">
        <v>956</v>
      </c>
      <c r="F676" s="942"/>
      <c r="G676" s="1035" t="s">
        <v>2481</v>
      </c>
      <c r="H676" s="939"/>
      <c r="I676" s="939" t="s">
        <v>550</v>
      </c>
      <c r="J676" s="939"/>
      <c r="K676" s="939"/>
      <c r="L676" s="939"/>
      <c r="M676" s="1035" t="s">
        <v>2482</v>
      </c>
      <c r="N676" s="1035" t="s">
        <v>2483</v>
      </c>
      <c r="O676" s="939" t="s">
        <v>165</v>
      </c>
      <c r="P676" s="937">
        <f t="shared" si="55"/>
        <v>43185</v>
      </c>
      <c r="Q676" s="937">
        <f t="shared" si="53"/>
        <v>43185</v>
      </c>
      <c r="R676" s="940" t="s">
        <v>2484</v>
      </c>
      <c r="S676" s="943" t="s">
        <v>2003</v>
      </c>
      <c r="T676" s="943"/>
      <c r="U676" s="936"/>
    </row>
    <row r="677" spans="1:21" ht="25.5" hidden="1">
      <c r="A677" s="936" t="s">
        <v>2479</v>
      </c>
      <c r="B677" s="937">
        <v>43185</v>
      </c>
      <c r="C677" s="936">
        <v>4</v>
      </c>
      <c r="D677" s="936">
        <v>4</v>
      </c>
      <c r="E677" s="944" t="s">
        <v>947</v>
      </c>
      <c r="F677" s="944"/>
      <c r="G677" s="1035" t="s">
        <v>2485</v>
      </c>
      <c r="H677" s="939"/>
      <c r="I677" s="939" t="s">
        <v>550</v>
      </c>
      <c r="J677" s="939"/>
      <c r="K677" s="939"/>
      <c r="L677" s="939"/>
      <c r="M677" s="1035" t="s">
        <v>2486</v>
      </c>
      <c r="N677" s="1035" t="s">
        <v>2483</v>
      </c>
      <c r="O677" s="939" t="s">
        <v>165</v>
      </c>
      <c r="P677" s="937">
        <f t="shared" si="55"/>
        <v>43185</v>
      </c>
      <c r="Q677" s="937">
        <f t="shared" si="53"/>
        <v>43185</v>
      </c>
      <c r="R677" s="940" t="s">
        <v>2484</v>
      </c>
      <c r="S677" s="943" t="s">
        <v>1995</v>
      </c>
      <c r="T677" s="943"/>
      <c r="U677" s="936"/>
    </row>
    <row r="678" spans="1:21" ht="32.25" hidden="1" customHeight="1">
      <c r="A678" s="936" t="s">
        <v>2479</v>
      </c>
      <c r="B678" s="937">
        <v>43185</v>
      </c>
      <c r="C678" s="936">
        <v>4</v>
      </c>
      <c r="D678" s="936">
        <v>4</v>
      </c>
      <c r="E678" s="942" t="s">
        <v>966</v>
      </c>
      <c r="F678" s="942"/>
      <c r="G678" s="1035" t="s">
        <v>2487</v>
      </c>
      <c r="H678" s="939"/>
      <c r="I678" s="939" t="s">
        <v>550</v>
      </c>
      <c r="J678" s="939"/>
      <c r="K678" s="939"/>
      <c r="L678" s="939"/>
      <c r="M678" s="1035" t="s">
        <v>2488</v>
      </c>
      <c r="N678" s="1035" t="s">
        <v>2483</v>
      </c>
      <c r="O678" s="939" t="s">
        <v>165</v>
      </c>
      <c r="P678" s="937">
        <f t="shared" si="55"/>
        <v>43185</v>
      </c>
      <c r="Q678" s="937">
        <f t="shared" ref="Q678:Q741" si="56">P678</f>
        <v>43185</v>
      </c>
      <c r="R678" s="940" t="s">
        <v>2484</v>
      </c>
      <c r="S678" s="941"/>
      <c r="T678" s="941"/>
      <c r="U678" s="936"/>
    </row>
    <row r="679" spans="1:21" hidden="1">
      <c r="A679" s="936" t="s">
        <v>2479</v>
      </c>
      <c r="B679" s="937">
        <v>43185</v>
      </c>
      <c r="C679" s="936">
        <v>4</v>
      </c>
      <c r="D679" s="936">
        <v>4</v>
      </c>
      <c r="E679" s="942" t="s">
        <v>1018</v>
      </c>
      <c r="F679" s="942"/>
      <c r="G679" s="1035" t="s">
        <v>31</v>
      </c>
      <c r="H679" s="939"/>
      <c r="I679" s="939" t="s">
        <v>550</v>
      </c>
      <c r="J679" s="939"/>
      <c r="K679" s="939"/>
      <c r="L679" s="939"/>
      <c r="M679" s="1035" t="s">
        <v>2489</v>
      </c>
      <c r="N679" s="1035" t="s">
        <v>2483</v>
      </c>
      <c r="O679" s="939" t="s">
        <v>165</v>
      </c>
      <c r="P679" s="937">
        <f t="shared" si="55"/>
        <v>43185</v>
      </c>
      <c r="Q679" s="937">
        <f t="shared" si="56"/>
        <v>43185</v>
      </c>
      <c r="R679" s="940" t="s">
        <v>2484</v>
      </c>
      <c r="S679" s="943" t="s">
        <v>2036</v>
      </c>
      <c r="T679" s="943"/>
      <c r="U679" s="936"/>
    </row>
    <row r="680" spans="1:21" hidden="1">
      <c r="A680" s="936" t="s">
        <v>2479</v>
      </c>
      <c r="B680" s="937">
        <v>43185</v>
      </c>
      <c r="C680" s="936">
        <v>4</v>
      </c>
      <c r="D680" s="936">
        <v>4</v>
      </c>
      <c r="E680" s="942" t="s">
        <v>1070</v>
      </c>
      <c r="F680" s="942"/>
      <c r="G680" s="1035" t="s">
        <v>2490</v>
      </c>
      <c r="H680" s="939"/>
      <c r="I680" s="939" t="s">
        <v>550</v>
      </c>
      <c r="J680" s="939"/>
      <c r="K680" s="939"/>
      <c r="L680" s="939"/>
      <c r="M680" s="1035" t="s">
        <v>2491</v>
      </c>
      <c r="N680" s="1035" t="s">
        <v>2483</v>
      </c>
      <c r="O680" s="939" t="s">
        <v>165</v>
      </c>
      <c r="P680" s="937">
        <f t="shared" si="55"/>
        <v>43185</v>
      </c>
      <c r="Q680" s="937">
        <f t="shared" si="56"/>
        <v>43185</v>
      </c>
      <c r="R680" s="940" t="s">
        <v>2484</v>
      </c>
      <c r="S680" s="943" t="s">
        <v>2065</v>
      </c>
      <c r="T680" s="943"/>
      <c r="U680" s="936"/>
    </row>
    <row r="681" spans="1:21" hidden="1">
      <c r="A681" s="936" t="s">
        <v>2479</v>
      </c>
      <c r="B681" s="937">
        <v>43185</v>
      </c>
      <c r="C681" s="936">
        <v>4</v>
      </c>
      <c r="D681" s="936">
        <v>4</v>
      </c>
      <c r="E681" s="942" t="s">
        <v>1065</v>
      </c>
      <c r="F681" s="942"/>
      <c r="G681" s="1035" t="s">
        <v>2492</v>
      </c>
      <c r="H681" s="939"/>
      <c r="I681" s="939" t="s">
        <v>550</v>
      </c>
      <c r="J681" s="939"/>
      <c r="K681" s="939"/>
      <c r="L681" s="939"/>
      <c r="M681" s="1035" t="s">
        <v>2491</v>
      </c>
      <c r="N681" s="1035" t="s">
        <v>2483</v>
      </c>
      <c r="O681" s="939" t="s">
        <v>165</v>
      </c>
      <c r="P681" s="937">
        <f t="shared" si="55"/>
        <v>43185</v>
      </c>
      <c r="Q681" s="937">
        <f t="shared" si="56"/>
        <v>43185</v>
      </c>
      <c r="R681" s="940" t="s">
        <v>2484</v>
      </c>
      <c r="S681" s="943" t="s">
        <v>2062</v>
      </c>
      <c r="T681" s="943"/>
      <c r="U681" s="936"/>
    </row>
    <row r="682" spans="1:21" hidden="1">
      <c r="A682" s="936" t="s">
        <v>2479</v>
      </c>
      <c r="B682" s="937">
        <v>43185</v>
      </c>
      <c r="C682" s="936">
        <v>4</v>
      </c>
      <c r="D682" s="936">
        <v>4</v>
      </c>
      <c r="E682" s="936"/>
      <c r="F682" s="936"/>
      <c r="G682" s="1035" t="s">
        <v>2493</v>
      </c>
      <c r="H682" s="939"/>
      <c r="I682" s="939" t="s">
        <v>2313</v>
      </c>
      <c r="J682" s="939"/>
      <c r="K682" s="939"/>
      <c r="L682" s="939"/>
      <c r="M682" s="1035" t="s">
        <v>2494</v>
      </c>
      <c r="N682" s="1035" t="s">
        <v>2483</v>
      </c>
      <c r="O682" s="939" t="s">
        <v>165</v>
      </c>
      <c r="P682" s="937">
        <f t="shared" si="55"/>
        <v>43185</v>
      </c>
      <c r="Q682" s="937">
        <f t="shared" si="56"/>
        <v>43185</v>
      </c>
      <c r="R682" s="940" t="s">
        <v>2484</v>
      </c>
      <c r="S682" s="941"/>
      <c r="T682" s="941"/>
      <c r="U682" s="936"/>
    </row>
    <row r="683" spans="1:21" ht="25.5" hidden="1">
      <c r="A683" s="936" t="s">
        <v>2479</v>
      </c>
      <c r="B683" s="937">
        <v>43185</v>
      </c>
      <c r="C683" s="936">
        <v>4</v>
      </c>
      <c r="D683" s="936">
        <v>4</v>
      </c>
      <c r="E683" s="936"/>
      <c r="F683" s="936"/>
      <c r="G683" s="1035" t="s">
        <v>2495</v>
      </c>
      <c r="H683" s="939"/>
      <c r="I683" s="939" t="s">
        <v>2313</v>
      </c>
      <c r="J683" s="939"/>
      <c r="K683" s="939"/>
      <c r="L683" s="939"/>
      <c r="M683" s="1035" t="s">
        <v>2494</v>
      </c>
      <c r="N683" s="1035" t="s">
        <v>2483</v>
      </c>
      <c r="O683" s="939" t="s">
        <v>165</v>
      </c>
      <c r="P683" s="937">
        <f t="shared" si="55"/>
        <v>43185</v>
      </c>
      <c r="Q683" s="937">
        <f t="shared" si="56"/>
        <v>43185</v>
      </c>
      <c r="R683" s="940" t="s">
        <v>2484</v>
      </c>
      <c r="S683" s="941"/>
      <c r="T683" s="941"/>
      <c r="U683" s="936"/>
    </row>
    <row r="684" spans="1:21" hidden="1">
      <c r="A684" s="936" t="s">
        <v>2479</v>
      </c>
      <c r="B684" s="937">
        <v>43185</v>
      </c>
      <c r="C684" s="936">
        <v>4</v>
      </c>
      <c r="D684" s="936">
        <v>4</v>
      </c>
      <c r="E684" s="936"/>
      <c r="F684" s="936"/>
      <c r="G684" s="1035" t="s">
        <v>2496</v>
      </c>
      <c r="H684" s="939"/>
      <c r="I684" s="939" t="s">
        <v>2313</v>
      </c>
      <c r="J684" s="939"/>
      <c r="K684" s="939"/>
      <c r="L684" s="939"/>
      <c r="M684" s="1035" t="s">
        <v>2497</v>
      </c>
      <c r="N684" s="1035" t="s">
        <v>2483</v>
      </c>
      <c r="O684" s="939" t="s">
        <v>165</v>
      </c>
      <c r="P684" s="937">
        <f t="shared" si="55"/>
        <v>43185</v>
      </c>
      <c r="Q684" s="937">
        <f t="shared" si="56"/>
        <v>43185</v>
      </c>
      <c r="R684" s="940" t="s">
        <v>2484</v>
      </c>
      <c r="S684" s="941"/>
      <c r="T684" s="941"/>
      <c r="U684" s="936"/>
    </row>
    <row r="685" spans="1:21" ht="25.5" hidden="1">
      <c r="A685" s="936" t="s">
        <v>2479</v>
      </c>
      <c r="B685" s="937">
        <v>43185</v>
      </c>
      <c r="C685" s="936">
        <v>4</v>
      </c>
      <c r="D685" s="936">
        <v>4</v>
      </c>
      <c r="E685" s="936"/>
      <c r="F685" s="936"/>
      <c r="G685" s="1035" t="s">
        <v>2498</v>
      </c>
      <c r="H685" s="939"/>
      <c r="I685" s="939" t="s">
        <v>2313</v>
      </c>
      <c r="J685" s="939"/>
      <c r="K685" s="939"/>
      <c r="L685" s="939"/>
      <c r="M685" s="1035" t="s">
        <v>2499</v>
      </c>
      <c r="N685" s="1035" t="s">
        <v>2483</v>
      </c>
      <c r="O685" s="939" t="s">
        <v>165</v>
      </c>
      <c r="P685" s="937">
        <f t="shared" si="55"/>
        <v>43185</v>
      </c>
      <c r="Q685" s="937">
        <f t="shared" si="56"/>
        <v>43185</v>
      </c>
      <c r="R685" s="940" t="s">
        <v>2484</v>
      </c>
      <c r="S685" s="941"/>
      <c r="T685" s="941"/>
      <c r="U685" s="936"/>
    </row>
    <row r="686" spans="1:21" ht="29.25" hidden="1" customHeight="1">
      <c r="A686" s="936" t="s">
        <v>2479</v>
      </c>
      <c r="B686" s="937">
        <v>43185</v>
      </c>
      <c r="C686" s="936">
        <v>4</v>
      </c>
      <c r="D686" s="936">
        <v>4</v>
      </c>
      <c r="E686" s="936"/>
      <c r="F686" s="936"/>
      <c r="G686" s="1035" t="s">
        <v>2500</v>
      </c>
      <c r="H686" s="939"/>
      <c r="I686" s="939" t="s">
        <v>2313</v>
      </c>
      <c r="J686" s="939"/>
      <c r="K686" s="939"/>
      <c r="L686" s="939"/>
      <c r="M686" s="1035" t="s">
        <v>2501</v>
      </c>
      <c r="N686" s="1035" t="s">
        <v>2483</v>
      </c>
      <c r="O686" s="939" t="s">
        <v>165</v>
      </c>
      <c r="P686" s="937">
        <f t="shared" si="55"/>
        <v>43185</v>
      </c>
      <c r="Q686" s="937">
        <f t="shared" si="56"/>
        <v>43185</v>
      </c>
      <c r="R686" s="940" t="s">
        <v>2484</v>
      </c>
      <c r="S686" s="941"/>
      <c r="T686" s="941"/>
      <c r="U686" s="936"/>
    </row>
    <row r="687" spans="1:21" ht="25.5" hidden="1">
      <c r="A687" s="936" t="s">
        <v>2479</v>
      </c>
      <c r="B687" s="937">
        <v>43185</v>
      </c>
      <c r="C687" s="936">
        <v>4</v>
      </c>
      <c r="D687" s="936">
        <v>4</v>
      </c>
      <c r="E687" s="936"/>
      <c r="F687" s="936"/>
      <c r="G687" s="1035" t="s">
        <v>2502</v>
      </c>
      <c r="H687" s="939"/>
      <c r="I687" s="939" t="s">
        <v>2313</v>
      </c>
      <c r="J687" s="939"/>
      <c r="K687" s="939"/>
      <c r="L687" s="939"/>
      <c r="M687" s="1035" t="s">
        <v>2503</v>
      </c>
      <c r="N687" s="1035" t="s">
        <v>2483</v>
      </c>
      <c r="O687" s="939" t="s">
        <v>165</v>
      </c>
      <c r="P687" s="937">
        <f t="shared" si="55"/>
        <v>43185</v>
      </c>
      <c r="Q687" s="937">
        <f t="shared" si="56"/>
        <v>43185</v>
      </c>
      <c r="R687" s="940" t="s">
        <v>2484</v>
      </c>
      <c r="S687" s="941"/>
      <c r="T687" s="941"/>
      <c r="U687" s="936"/>
    </row>
    <row r="688" spans="1:21" ht="60" hidden="1" customHeight="1">
      <c r="A688" s="936" t="s">
        <v>2479</v>
      </c>
      <c r="B688" s="937">
        <v>43185</v>
      </c>
      <c r="C688" s="936">
        <v>4</v>
      </c>
      <c r="D688" s="936">
        <v>4</v>
      </c>
      <c r="E688" s="936"/>
      <c r="F688" s="936"/>
      <c r="G688" s="1035" t="s">
        <v>2504</v>
      </c>
      <c r="H688" s="939"/>
      <c r="I688" s="939" t="s">
        <v>2313</v>
      </c>
      <c r="J688" s="939"/>
      <c r="K688" s="939"/>
      <c r="L688" s="939"/>
      <c r="M688" s="1035" t="s">
        <v>2503</v>
      </c>
      <c r="N688" s="1035" t="s">
        <v>2483</v>
      </c>
      <c r="O688" s="939" t="s">
        <v>165</v>
      </c>
      <c r="P688" s="937">
        <f t="shared" si="55"/>
        <v>43185</v>
      </c>
      <c r="Q688" s="937">
        <f t="shared" si="56"/>
        <v>43185</v>
      </c>
      <c r="R688" s="940" t="s">
        <v>2484</v>
      </c>
      <c r="S688" s="941"/>
      <c r="T688" s="941"/>
      <c r="U688" s="936"/>
    </row>
    <row r="689" spans="1:21" ht="25.5" hidden="1">
      <c r="A689" s="936" t="s">
        <v>2479</v>
      </c>
      <c r="B689" s="937">
        <v>43185</v>
      </c>
      <c r="C689" s="936">
        <v>4</v>
      </c>
      <c r="D689" s="936">
        <v>4</v>
      </c>
      <c r="E689" s="942" t="s">
        <v>950</v>
      </c>
      <c r="F689" s="942"/>
      <c r="G689" s="1035" t="s">
        <v>2505</v>
      </c>
      <c r="H689" s="939"/>
      <c r="I689" s="939" t="s">
        <v>550</v>
      </c>
      <c r="J689" s="939"/>
      <c r="K689" s="939"/>
      <c r="L689" s="939"/>
      <c r="M689" s="1035" t="s">
        <v>2491</v>
      </c>
      <c r="N689" s="1035" t="s">
        <v>2506</v>
      </c>
      <c r="O689" s="939" t="s">
        <v>165</v>
      </c>
      <c r="P689" s="937">
        <f t="shared" si="55"/>
        <v>43185</v>
      </c>
      <c r="Q689" s="937">
        <f t="shared" si="56"/>
        <v>43185</v>
      </c>
      <c r="R689" s="940" t="s">
        <v>2484</v>
      </c>
      <c r="S689" s="943" t="s">
        <v>1998</v>
      </c>
      <c r="T689" s="943"/>
      <c r="U689" s="936"/>
    </row>
    <row r="690" spans="1:21" hidden="1">
      <c r="A690" s="936" t="s">
        <v>2479</v>
      </c>
      <c r="B690" s="937">
        <v>43185</v>
      </c>
      <c r="C690" s="936">
        <v>4</v>
      </c>
      <c r="D690" s="936">
        <v>5</v>
      </c>
      <c r="E690" s="942" t="s">
        <v>960</v>
      </c>
      <c r="F690" s="942"/>
      <c r="G690" s="1035" t="s">
        <v>2507</v>
      </c>
      <c r="H690" s="939"/>
      <c r="I690" s="939" t="s">
        <v>550</v>
      </c>
      <c r="J690" s="939"/>
      <c r="K690" s="939"/>
      <c r="L690" s="939"/>
      <c r="M690" s="1035" t="s">
        <v>2508</v>
      </c>
      <c r="N690" s="1035" t="s">
        <v>2509</v>
      </c>
      <c r="O690" s="939" t="s">
        <v>165</v>
      </c>
      <c r="P690" s="937">
        <f t="shared" si="55"/>
        <v>43185</v>
      </c>
      <c r="Q690" s="937">
        <f t="shared" si="56"/>
        <v>43185</v>
      </c>
      <c r="R690" s="940" t="s">
        <v>2484</v>
      </c>
      <c r="S690" s="941"/>
      <c r="T690" s="941"/>
      <c r="U690" s="936"/>
    </row>
    <row r="691" spans="1:21" hidden="1">
      <c r="A691" s="936" t="s">
        <v>2479</v>
      </c>
      <c r="B691" s="937">
        <v>43185</v>
      </c>
      <c r="C691" s="936">
        <v>4</v>
      </c>
      <c r="D691" s="936">
        <v>5</v>
      </c>
      <c r="E691" s="942" t="s">
        <v>976</v>
      </c>
      <c r="F691" s="942"/>
      <c r="G691" s="1035" t="s">
        <v>2510</v>
      </c>
      <c r="H691" s="939"/>
      <c r="I691" s="939" t="s">
        <v>550</v>
      </c>
      <c r="J691" s="939"/>
      <c r="K691" s="939"/>
      <c r="L691" s="939"/>
      <c r="M691" s="1035" t="s">
        <v>2511</v>
      </c>
      <c r="N691" s="1035" t="s">
        <v>2509</v>
      </c>
      <c r="O691" s="939" t="s">
        <v>165</v>
      </c>
      <c r="P691" s="937">
        <f t="shared" si="55"/>
        <v>43185</v>
      </c>
      <c r="Q691" s="937">
        <f t="shared" si="56"/>
        <v>43185</v>
      </c>
      <c r="R691" s="940" t="s">
        <v>2484</v>
      </c>
      <c r="S691" s="943" t="s">
        <v>2011</v>
      </c>
      <c r="T691" s="943"/>
      <c r="U691" s="936"/>
    </row>
    <row r="692" spans="1:21" hidden="1">
      <c r="A692" s="936" t="s">
        <v>2479</v>
      </c>
      <c r="B692" s="937">
        <v>43185</v>
      </c>
      <c r="C692" s="936">
        <v>4</v>
      </c>
      <c r="D692" s="936">
        <v>5</v>
      </c>
      <c r="E692" s="942" t="s">
        <v>979</v>
      </c>
      <c r="F692" s="942"/>
      <c r="G692" s="1035" t="s">
        <v>2512</v>
      </c>
      <c r="H692" s="939"/>
      <c r="I692" s="939" t="s">
        <v>550</v>
      </c>
      <c r="J692" s="939"/>
      <c r="K692" s="939"/>
      <c r="L692" s="939"/>
      <c r="M692" s="1035" t="s">
        <v>2511</v>
      </c>
      <c r="N692" s="1035" t="s">
        <v>2509</v>
      </c>
      <c r="O692" s="939" t="s">
        <v>165</v>
      </c>
      <c r="P692" s="937">
        <f t="shared" si="55"/>
        <v>43185</v>
      </c>
      <c r="Q692" s="937">
        <f t="shared" si="56"/>
        <v>43185</v>
      </c>
      <c r="R692" s="940" t="s">
        <v>2484</v>
      </c>
      <c r="S692" s="943" t="s">
        <v>2013</v>
      </c>
      <c r="T692" s="943"/>
      <c r="U692" s="936"/>
    </row>
    <row r="693" spans="1:21" ht="25.5" hidden="1">
      <c r="A693" s="936" t="s">
        <v>2479</v>
      </c>
      <c r="B693" s="937">
        <v>43185</v>
      </c>
      <c r="C693" s="936">
        <v>4</v>
      </c>
      <c r="D693" s="936">
        <v>5</v>
      </c>
      <c r="E693" s="942" t="s">
        <v>953</v>
      </c>
      <c r="F693" s="942"/>
      <c r="G693" s="1035" t="s">
        <v>2513</v>
      </c>
      <c r="H693" s="939"/>
      <c r="I693" s="939" t="s">
        <v>550</v>
      </c>
      <c r="J693" s="939"/>
      <c r="K693" s="939"/>
      <c r="L693" s="939"/>
      <c r="M693" s="1035" t="s">
        <v>2514</v>
      </c>
      <c r="N693" s="1035" t="s">
        <v>2515</v>
      </c>
      <c r="O693" s="939" t="s">
        <v>165</v>
      </c>
      <c r="P693" s="937">
        <f t="shared" si="55"/>
        <v>43185</v>
      </c>
      <c r="Q693" s="937">
        <f t="shared" si="56"/>
        <v>43185</v>
      </c>
      <c r="R693" s="940" t="s">
        <v>2484</v>
      </c>
      <c r="S693" s="943" t="s">
        <v>2000</v>
      </c>
      <c r="T693" s="943"/>
      <c r="U693" s="936"/>
    </row>
    <row r="694" spans="1:21" ht="28.5" hidden="1" customHeight="1">
      <c r="A694" s="936" t="s">
        <v>2479</v>
      </c>
      <c r="B694" s="937">
        <v>43185</v>
      </c>
      <c r="C694" s="936">
        <v>4</v>
      </c>
      <c r="D694" s="936">
        <v>5</v>
      </c>
      <c r="E694" s="936"/>
      <c r="F694" s="936"/>
      <c r="G694" s="1035" t="s">
        <v>2516</v>
      </c>
      <c r="H694" s="939"/>
      <c r="I694" s="939" t="s">
        <v>2313</v>
      </c>
      <c r="J694" s="939"/>
      <c r="K694" s="939"/>
      <c r="L694" s="939"/>
      <c r="M694" s="1035" t="s">
        <v>2517</v>
      </c>
      <c r="N694" s="1035" t="s">
        <v>2518</v>
      </c>
      <c r="O694" s="939" t="s">
        <v>165</v>
      </c>
      <c r="P694" s="937">
        <f t="shared" si="55"/>
        <v>43185</v>
      </c>
      <c r="Q694" s="937">
        <f t="shared" si="56"/>
        <v>43185</v>
      </c>
      <c r="R694" s="940" t="s">
        <v>2484</v>
      </c>
      <c r="S694" s="941"/>
      <c r="T694" s="941"/>
      <c r="U694" s="936"/>
    </row>
    <row r="695" spans="1:21" ht="25.5" hidden="1">
      <c r="A695" s="936" t="s">
        <v>2479</v>
      </c>
      <c r="B695" s="937">
        <v>43185</v>
      </c>
      <c r="C695" s="936">
        <v>4</v>
      </c>
      <c r="D695" s="936">
        <v>5</v>
      </c>
      <c r="E695" s="936"/>
      <c r="F695" s="936"/>
      <c r="G695" s="1035" t="s">
        <v>2519</v>
      </c>
      <c r="H695" s="939"/>
      <c r="I695" s="939" t="s">
        <v>2313</v>
      </c>
      <c r="J695" s="939"/>
      <c r="K695" s="939"/>
      <c r="L695" s="939"/>
      <c r="M695" s="1035" t="s">
        <v>2520</v>
      </c>
      <c r="N695" s="1035" t="s">
        <v>1976</v>
      </c>
      <c r="O695" s="939" t="s">
        <v>165</v>
      </c>
      <c r="P695" s="937">
        <f t="shared" si="55"/>
        <v>43185</v>
      </c>
      <c r="Q695" s="937">
        <f t="shared" si="56"/>
        <v>43185</v>
      </c>
      <c r="R695" s="940" t="s">
        <v>2484</v>
      </c>
      <c r="S695" s="941"/>
      <c r="T695" s="941"/>
      <c r="U695" s="936"/>
    </row>
    <row r="696" spans="1:21" ht="25.5" hidden="1">
      <c r="A696" s="936" t="s">
        <v>2479</v>
      </c>
      <c r="B696" s="937">
        <v>43185</v>
      </c>
      <c r="C696" s="936">
        <v>4</v>
      </c>
      <c r="D696" s="936">
        <v>5</v>
      </c>
      <c r="E696" s="936"/>
      <c r="F696" s="936"/>
      <c r="G696" s="1035" t="s">
        <v>2521</v>
      </c>
      <c r="H696" s="939"/>
      <c r="I696" s="939" t="s">
        <v>2313</v>
      </c>
      <c r="J696" s="939"/>
      <c r="K696" s="939"/>
      <c r="L696" s="939"/>
      <c r="M696" s="1035" t="s">
        <v>2522</v>
      </c>
      <c r="N696" s="1035" t="s">
        <v>1976</v>
      </c>
      <c r="O696" s="939" t="s">
        <v>165</v>
      </c>
      <c r="P696" s="937">
        <f t="shared" si="55"/>
        <v>43185</v>
      </c>
      <c r="Q696" s="937">
        <f t="shared" si="56"/>
        <v>43185</v>
      </c>
      <c r="R696" s="940" t="s">
        <v>2484</v>
      </c>
      <c r="S696" s="941"/>
      <c r="T696" s="941"/>
      <c r="U696" s="936"/>
    </row>
    <row r="697" spans="1:21" ht="25.5" hidden="1">
      <c r="A697" s="936" t="s">
        <v>2479</v>
      </c>
      <c r="B697" s="937">
        <v>43185</v>
      </c>
      <c r="C697" s="936">
        <v>4</v>
      </c>
      <c r="D697" s="936">
        <v>5</v>
      </c>
      <c r="E697" s="942" t="s">
        <v>1093</v>
      </c>
      <c r="F697" s="942"/>
      <c r="G697" s="1035" t="s">
        <v>2523</v>
      </c>
      <c r="H697" s="939"/>
      <c r="I697" s="939" t="s">
        <v>550</v>
      </c>
      <c r="J697" s="939"/>
      <c r="K697" s="939"/>
      <c r="L697" s="939"/>
      <c r="M697" s="1035" t="s">
        <v>2524</v>
      </c>
      <c r="N697" s="1035" t="s">
        <v>1976</v>
      </c>
      <c r="O697" s="939" t="s">
        <v>165</v>
      </c>
      <c r="P697" s="937">
        <f t="shared" si="55"/>
        <v>43185</v>
      </c>
      <c r="Q697" s="937">
        <f t="shared" si="56"/>
        <v>43185</v>
      </c>
      <c r="R697" s="940" t="s">
        <v>2484</v>
      </c>
      <c r="S697" s="943" t="s">
        <v>2074</v>
      </c>
      <c r="T697" s="943"/>
      <c r="U697" s="936"/>
    </row>
    <row r="698" spans="1:21" hidden="1">
      <c r="A698" s="936" t="s">
        <v>2479</v>
      </c>
      <c r="B698" s="937">
        <v>43185</v>
      </c>
      <c r="C698" s="936">
        <v>4</v>
      </c>
      <c r="D698" s="936">
        <v>5</v>
      </c>
      <c r="E698" s="938"/>
      <c r="F698" s="938"/>
      <c r="G698" s="1035" t="s">
        <v>2525</v>
      </c>
      <c r="H698" s="939"/>
      <c r="I698" s="939" t="s">
        <v>2313</v>
      </c>
      <c r="J698" s="939"/>
      <c r="K698" s="939"/>
      <c r="L698" s="939"/>
      <c r="M698" s="1035" t="s">
        <v>2526</v>
      </c>
      <c r="N698" s="1035" t="s">
        <v>2527</v>
      </c>
      <c r="O698" s="939" t="s">
        <v>165</v>
      </c>
      <c r="P698" s="937">
        <f t="shared" si="55"/>
        <v>43185</v>
      </c>
      <c r="Q698" s="937">
        <f t="shared" si="56"/>
        <v>43185</v>
      </c>
      <c r="R698" s="940" t="s">
        <v>2484</v>
      </c>
      <c r="S698" s="941"/>
      <c r="T698" s="941"/>
      <c r="U698" s="936"/>
    </row>
    <row r="699" spans="1:21" hidden="1">
      <c r="A699" s="936" t="s">
        <v>2479</v>
      </c>
      <c r="B699" s="937">
        <v>43185</v>
      </c>
      <c r="C699" s="936">
        <v>4</v>
      </c>
      <c r="D699" s="936">
        <v>5</v>
      </c>
      <c r="E699" s="942" t="s">
        <v>719</v>
      </c>
      <c r="F699" s="942"/>
      <c r="G699" s="1035" t="s">
        <v>2528</v>
      </c>
      <c r="H699" s="939"/>
      <c r="I699" s="939" t="s">
        <v>550</v>
      </c>
      <c r="J699" s="939"/>
      <c r="K699" s="939"/>
      <c r="L699" s="939"/>
      <c r="M699" s="1035" t="s">
        <v>2501</v>
      </c>
      <c r="N699" s="1035" t="s">
        <v>2527</v>
      </c>
      <c r="O699" s="939" t="s">
        <v>165</v>
      </c>
      <c r="P699" s="937">
        <f t="shared" si="55"/>
        <v>43185</v>
      </c>
      <c r="Q699" s="937">
        <f t="shared" si="56"/>
        <v>43185</v>
      </c>
      <c r="R699" s="940" t="s">
        <v>2484</v>
      </c>
      <c r="S699" s="943" t="s">
        <v>1912</v>
      </c>
      <c r="T699" s="943"/>
      <c r="U699" s="936"/>
    </row>
    <row r="700" spans="1:21" hidden="1">
      <c r="A700" s="936" t="s">
        <v>2479</v>
      </c>
      <c r="B700" s="937">
        <v>43185</v>
      </c>
      <c r="C700" s="936">
        <v>4</v>
      </c>
      <c r="D700" s="936">
        <v>5</v>
      </c>
      <c r="E700" s="942" t="s">
        <v>719</v>
      </c>
      <c r="F700" s="942"/>
      <c r="G700" s="1035" t="s">
        <v>2525</v>
      </c>
      <c r="H700" s="939"/>
      <c r="I700" s="939" t="s">
        <v>550</v>
      </c>
      <c r="J700" s="939"/>
      <c r="K700" s="939"/>
      <c r="L700" s="939"/>
      <c r="M700" s="1035" t="s">
        <v>2501</v>
      </c>
      <c r="N700" s="1035" t="s">
        <v>2527</v>
      </c>
      <c r="O700" s="939" t="s">
        <v>165</v>
      </c>
      <c r="P700" s="937">
        <f t="shared" si="55"/>
        <v>43185</v>
      </c>
      <c r="Q700" s="937">
        <f t="shared" si="56"/>
        <v>43185</v>
      </c>
      <c r="R700" s="940" t="s">
        <v>2484</v>
      </c>
      <c r="S700" s="943" t="s">
        <v>1912</v>
      </c>
      <c r="T700" s="943"/>
      <c r="U700" s="936"/>
    </row>
    <row r="701" spans="1:21" hidden="1">
      <c r="A701" s="936" t="s">
        <v>2479</v>
      </c>
      <c r="B701" s="937">
        <v>43185</v>
      </c>
      <c r="C701" s="936">
        <v>4</v>
      </c>
      <c r="D701" s="936">
        <v>5</v>
      </c>
      <c r="E701" s="936"/>
      <c r="F701" s="936"/>
      <c r="G701" s="1035" t="s">
        <v>2529</v>
      </c>
      <c r="H701" s="939"/>
      <c r="I701" s="939" t="s">
        <v>2313</v>
      </c>
      <c r="J701" s="939"/>
      <c r="K701" s="939"/>
      <c r="L701" s="939"/>
      <c r="M701" s="1035" t="s">
        <v>2501</v>
      </c>
      <c r="N701" s="1035" t="s">
        <v>2527</v>
      </c>
      <c r="O701" s="939" t="s">
        <v>165</v>
      </c>
      <c r="P701" s="937">
        <f t="shared" si="55"/>
        <v>43185</v>
      </c>
      <c r="Q701" s="937">
        <f t="shared" si="56"/>
        <v>43185</v>
      </c>
      <c r="R701" s="940" t="s">
        <v>2484</v>
      </c>
      <c r="S701" s="941"/>
      <c r="T701" s="941"/>
      <c r="U701" s="936"/>
    </row>
    <row r="702" spans="1:21" ht="32.25" hidden="1" customHeight="1">
      <c r="A702" s="936" t="s">
        <v>2479</v>
      </c>
      <c r="B702" s="937">
        <v>43185</v>
      </c>
      <c r="C702" s="936">
        <v>4</v>
      </c>
      <c r="D702" s="936">
        <v>5</v>
      </c>
      <c r="E702" s="942" t="s">
        <v>1080</v>
      </c>
      <c r="F702" s="942"/>
      <c r="G702" s="1035" t="s">
        <v>2530</v>
      </c>
      <c r="H702" s="939"/>
      <c r="I702" s="939" t="s">
        <v>550</v>
      </c>
      <c r="J702" s="939"/>
      <c r="K702" s="939"/>
      <c r="L702" s="939"/>
      <c r="M702" s="1035" t="s">
        <v>2531</v>
      </c>
      <c r="N702" s="1035" t="s">
        <v>2527</v>
      </c>
      <c r="O702" s="939" t="s">
        <v>165</v>
      </c>
      <c r="P702" s="937">
        <f t="shared" si="55"/>
        <v>43185</v>
      </c>
      <c r="Q702" s="937">
        <f t="shared" si="56"/>
        <v>43185</v>
      </c>
      <c r="R702" s="940" t="s">
        <v>2484</v>
      </c>
      <c r="S702" s="943" t="s">
        <v>2069</v>
      </c>
      <c r="T702" s="943"/>
      <c r="U702" s="936"/>
    </row>
    <row r="703" spans="1:21" hidden="1">
      <c r="A703" s="936" t="s">
        <v>2479</v>
      </c>
      <c r="B703" s="937">
        <v>43185</v>
      </c>
      <c r="C703" s="936">
        <v>4</v>
      </c>
      <c r="D703" s="936">
        <v>5</v>
      </c>
      <c r="E703" s="936"/>
      <c r="F703" s="936"/>
      <c r="G703" s="1035" t="s">
        <v>2532</v>
      </c>
      <c r="H703" s="939"/>
      <c r="I703" s="939" t="s">
        <v>2313</v>
      </c>
      <c r="J703" s="939"/>
      <c r="K703" s="939"/>
      <c r="L703" s="939"/>
      <c r="M703" s="1035" t="s">
        <v>2533</v>
      </c>
      <c r="N703" s="1035" t="s">
        <v>2527</v>
      </c>
      <c r="O703" s="939" t="s">
        <v>165</v>
      </c>
      <c r="P703" s="937">
        <f t="shared" si="55"/>
        <v>43185</v>
      </c>
      <c r="Q703" s="937">
        <f t="shared" si="56"/>
        <v>43185</v>
      </c>
      <c r="R703" s="940" t="s">
        <v>2484</v>
      </c>
      <c r="S703" s="941"/>
      <c r="T703" s="941"/>
      <c r="U703" s="936"/>
    </row>
    <row r="704" spans="1:21" hidden="1">
      <c r="A704" s="936" t="s">
        <v>2479</v>
      </c>
      <c r="B704" s="937">
        <v>43185</v>
      </c>
      <c r="C704" s="936">
        <v>4</v>
      </c>
      <c r="D704" s="936">
        <v>5</v>
      </c>
      <c r="E704" s="936"/>
      <c r="F704" s="936"/>
      <c r="G704" s="1035" t="s">
        <v>2534</v>
      </c>
      <c r="H704" s="939"/>
      <c r="I704" s="939" t="s">
        <v>2313</v>
      </c>
      <c r="J704" s="939"/>
      <c r="K704" s="939"/>
      <c r="L704" s="939"/>
      <c r="M704" s="1035" t="s">
        <v>2489</v>
      </c>
      <c r="N704" s="1035" t="s">
        <v>2535</v>
      </c>
      <c r="O704" s="939" t="s">
        <v>165</v>
      </c>
      <c r="P704" s="937">
        <f t="shared" ref="P704:P735" si="57">B704</f>
        <v>43185</v>
      </c>
      <c r="Q704" s="937">
        <f t="shared" si="56"/>
        <v>43185</v>
      </c>
      <c r="R704" s="940" t="s">
        <v>2484</v>
      </c>
      <c r="S704" s="941"/>
      <c r="T704" s="941"/>
      <c r="U704" s="936"/>
    </row>
    <row r="705" spans="1:21" hidden="1">
      <c r="A705" s="936" t="s">
        <v>2479</v>
      </c>
      <c r="B705" s="937">
        <v>43185</v>
      </c>
      <c r="C705" s="936">
        <v>4</v>
      </c>
      <c r="D705" s="936">
        <v>5</v>
      </c>
      <c r="E705" s="936"/>
      <c r="F705" s="936"/>
      <c r="G705" s="1035" t="s">
        <v>2536</v>
      </c>
      <c r="H705" s="939"/>
      <c r="I705" s="939" t="s">
        <v>2313</v>
      </c>
      <c r="J705" s="939"/>
      <c r="K705" s="939"/>
      <c r="L705" s="939"/>
      <c r="M705" s="1035" t="s">
        <v>2489</v>
      </c>
      <c r="N705" s="1035" t="s">
        <v>2535</v>
      </c>
      <c r="O705" s="939" t="s">
        <v>165</v>
      </c>
      <c r="P705" s="937">
        <f t="shared" si="57"/>
        <v>43185</v>
      </c>
      <c r="Q705" s="937">
        <f t="shared" si="56"/>
        <v>43185</v>
      </c>
      <c r="R705" s="940" t="s">
        <v>2484</v>
      </c>
      <c r="S705" s="941"/>
      <c r="T705" s="941"/>
      <c r="U705" s="936"/>
    </row>
    <row r="706" spans="1:21" ht="25.5" hidden="1">
      <c r="A706" s="936" t="s">
        <v>2479</v>
      </c>
      <c r="B706" s="937">
        <v>43185</v>
      </c>
      <c r="C706" s="936">
        <v>4</v>
      </c>
      <c r="D706" s="936">
        <v>5</v>
      </c>
      <c r="E706" s="936"/>
      <c r="F706" s="936"/>
      <c r="G706" s="1035" t="s">
        <v>2537</v>
      </c>
      <c r="H706" s="939"/>
      <c r="I706" s="939" t="s">
        <v>2313</v>
      </c>
      <c r="J706" s="939"/>
      <c r="K706" s="939"/>
      <c r="L706" s="939"/>
      <c r="M706" s="1035" t="s">
        <v>2538</v>
      </c>
      <c r="N706" s="1035" t="s">
        <v>2535</v>
      </c>
      <c r="O706" s="939" t="s">
        <v>165</v>
      </c>
      <c r="P706" s="937">
        <f t="shared" si="57"/>
        <v>43185</v>
      </c>
      <c r="Q706" s="937">
        <f t="shared" si="56"/>
        <v>43185</v>
      </c>
      <c r="R706" s="940" t="s">
        <v>2484</v>
      </c>
      <c r="S706" s="941"/>
      <c r="T706" s="941"/>
      <c r="U706" s="936"/>
    </row>
    <row r="707" spans="1:21" hidden="1">
      <c r="A707" s="936" t="s">
        <v>2479</v>
      </c>
      <c r="B707" s="937">
        <v>43185</v>
      </c>
      <c r="C707" s="936">
        <v>4</v>
      </c>
      <c r="D707" s="936">
        <v>5</v>
      </c>
      <c r="E707" s="936"/>
      <c r="F707" s="936"/>
      <c r="G707" s="1035" t="s">
        <v>2539</v>
      </c>
      <c r="H707" s="939"/>
      <c r="I707" s="939" t="s">
        <v>2313</v>
      </c>
      <c r="J707" s="939"/>
      <c r="K707" s="939"/>
      <c r="L707" s="939"/>
      <c r="M707" s="1035" t="s">
        <v>2540</v>
      </c>
      <c r="N707" s="1035" t="s">
        <v>2541</v>
      </c>
      <c r="O707" s="939" t="s">
        <v>165</v>
      </c>
      <c r="P707" s="937">
        <f t="shared" si="57"/>
        <v>43185</v>
      </c>
      <c r="Q707" s="937">
        <f t="shared" si="56"/>
        <v>43185</v>
      </c>
      <c r="R707" s="940" t="s">
        <v>2484</v>
      </c>
      <c r="S707" s="941"/>
      <c r="T707" s="941"/>
      <c r="U707" s="936"/>
    </row>
    <row r="708" spans="1:21" hidden="1">
      <c r="A708" s="936" t="s">
        <v>2479</v>
      </c>
      <c r="B708" s="937">
        <v>43185</v>
      </c>
      <c r="C708" s="936">
        <v>4</v>
      </c>
      <c r="D708" s="936">
        <v>6</v>
      </c>
      <c r="E708" s="942" t="s">
        <v>2542</v>
      </c>
      <c r="F708" s="942"/>
      <c r="G708" s="1035" t="s">
        <v>2543</v>
      </c>
      <c r="H708" s="939"/>
      <c r="I708" s="939" t="s">
        <v>550</v>
      </c>
      <c r="J708" s="939"/>
      <c r="K708" s="939"/>
      <c r="L708" s="939"/>
      <c r="M708" s="1035" t="s">
        <v>2491</v>
      </c>
      <c r="N708" s="1035" t="s">
        <v>2483</v>
      </c>
      <c r="O708" s="939" t="s">
        <v>76</v>
      </c>
      <c r="P708" s="937">
        <f t="shared" si="57"/>
        <v>43185</v>
      </c>
      <c r="Q708" s="937">
        <f t="shared" si="56"/>
        <v>43185</v>
      </c>
      <c r="R708" s="940" t="s">
        <v>2484</v>
      </c>
      <c r="S708" s="943" t="s">
        <v>2027</v>
      </c>
      <c r="T708" s="943"/>
      <c r="U708" s="936"/>
    </row>
    <row r="709" spans="1:21" hidden="1">
      <c r="A709" s="936" t="s">
        <v>2479</v>
      </c>
      <c r="B709" s="937">
        <v>43185</v>
      </c>
      <c r="C709" s="936">
        <v>4</v>
      </c>
      <c r="D709" s="936">
        <v>6</v>
      </c>
      <c r="E709" s="938"/>
      <c r="F709" s="938"/>
      <c r="G709" s="1035" t="s">
        <v>2544</v>
      </c>
      <c r="H709" s="939"/>
      <c r="I709" s="939" t="s">
        <v>2313</v>
      </c>
      <c r="J709" s="939"/>
      <c r="K709" s="939"/>
      <c r="L709" s="939"/>
      <c r="M709" s="1035" t="s">
        <v>2545</v>
      </c>
      <c r="N709" s="1035" t="s">
        <v>2483</v>
      </c>
      <c r="O709" s="939" t="s">
        <v>76</v>
      </c>
      <c r="P709" s="937">
        <f t="shared" si="57"/>
        <v>43185</v>
      </c>
      <c r="Q709" s="937">
        <f t="shared" si="56"/>
        <v>43185</v>
      </c>
      <c r="R709" s="940" t="s">
        <v>2484</v>
      </c>
      <c r="S709" s="941"/>
      <c r="T709" s="941"/>
      <c r="U709" s="936"/>
    </row>
    <row r="710" spans="1:21" hidden="1">
      <c r="A710" s="936" t="s">
        <v>2479</v>
      </c>
      <c r="B710" s="937">
        <v>43185</v>
      </c>
      <c r="C710" s="936">
        <v>4</v>
      </c>
      <c r="D710" s="936">
        <v>6</v>
      </c>
      <c r="E710" s="942" t="s">
        <v>1075</v>
      </c>
      <c r="F710" s="942"/>
      <c r="G710" s="1035" t="s">
        <v>2546</v>
      </c>
      <c r="H710" s="939"/>
      <c r="I710" s="939" t="s">
        <v>550</v>
      </c>
      <c r="J710" s="939"/>
      <c r="K710" s="939"/>
      <c r="L710" s="939"/>
      <c r="M710" s="1035" t="s">
        <v>2491</v>
      </c>
      <c r="N710" s="1035" t="s">
        <v>2483</v>
      </c>
      <c r="O710" s="939" t="s">
        <v>76</v>
      </c>
      <c r="P710" s="937">
        <f t="shared" si="57"/>
        <v>43185</v>
      </c>
      <c r="Q710" s="937">
        <f t="shared" si="56"/>
        <v>43185</v>
      </c>
      <c r="R710" s="940" t="s">
        <v>2484</v>
      </c>
      <c r="S710" s="943" t="s">
        <v>2067</v>
      </c>
      <c r="T710" s="943"/>
      <c r="U710" s="936"/>
    </row>
    <row r="711" spans="1:21" hidden="1">
      <c r="A711" s="936" t="s">
        <v>2479</v>
      </c>
      <c r="B711" s="937">
        <v>43185</v>
      </c>
      <c r="C711" s="936">
        <v>4</v>
      </c>
      <c r="D711" s="936">
        <v>6</v>
      </c>
      <c r="E711" s="936"/>
      <c r="F711" s="936"/>
      <c r="G711" s="1035" t="s">
        <v>2547</v>
      </c>
      <c r="H711" s="939"/>
      <c r="I711" s="939" t="s">
        <v>2313</v>
      </c>
      <c r="J711" s="939"/>
      <c r="K711" s="939"/>
      <c r="L711" s="939"/>
      <c r="M711" s="1035" t="s">
        <v>2545</v>
      </c>
      <c r="N711" s="1035" t="s">
        <v>2483</v>
      </c>
      <c r="O711" s="939" t="s">
        <v>76</v>
      </c>
      <c r="P711" s="937">
        <f t="shared" si="57"/>
        <v>43185</v>
      </c>
      <c r="Q711" s="937">
        <f t="shared" si="56"/>
        <v>43185</v>
      </c>
      <c r="R711" s="940" t="s">
        <v>2484</v>
      </c>
      <c r="S711" s="941"/>
      <c r="T711" s="941"/>
      <c r="U711" s="936"/>
    </row>
    <row r="712" spans="1:21" hidden="1">
      <c r="A712" s="936" t="s">
        <v>2479</v>
      </c>
      <c r="B712" s="937">
        <v>43185</v>
      </c>
      <c r="C712" s="936">
        <v>4</v>
      </c>
      <c r="D712" s="936">
        <v>6</v>
      </c>
      <c r="E712" s="936"/>
      <c r="F712" s="936"/>
      <c r="G712" s="1035" t="s">
        <v>2548</v>
      </c>
      <c r="H712" s="939"/>
      <c r="I712" s="939" t="s">
        <v>2313</v>
      </c>
      <c r="J712" s="939"/>
      <c r="K712" s="939"/>
      <c r="L712" s="939"/>
      <c r="M712" s="1035" t="s">
        <v>2545</v>
      </c>
      <c r="N712" s="1035" t="s">
        <v>2483</v>
      </c>
      <c r="O712" s="939" t="s">
        <v>76</v>
      </c>
      <c r="P712" s="937">
        <f t="shared" si="57"/>
        <v>43185</v>
      </c>
      <c r="Q712" s="937">
        <f t="shared" si="56"/>
        <v>43185</v>
      </c>
      <c r="R712" s="940" t="s">
        <v>2484</v>
      </c>
      <c r="S712" s="941"/>
      <c r="T712" s="941"/>
      <c r="U712" s="936"/>
    </row>
    <row r="713" spans="1:21" ht="29.25" hidden="1" customHeight="1">
      <c r="A713" s="936" t="s">
        <v>2479</v>
      </c>
      <c r="B713" s="937">
        <v>43185</v>
      </c>
      <c r="C713" s="936">
        <v>4</v>
      </c>
      <c r="D713" s="936">
        <v>6</v>
      </c>
      <c r="E713" s="945" t="s">
        <v>969</v>
      </c>
      <c r="F713" s="945"/>
      <c r="G713" s="1035" t="s">
        <v>2549</v>
      </c>
      <c r="H713" s="939"/>
      <c r="I713" s="939" t="s">
        <v>550</v>
      </c>
      <c r="J713" s="939"/>
      <c r="K713" s="939"/>
      <c r="L713" s="939"/>
      <c r="M713" s="1035" t="s">
        <v>2545</v>
      </c>
      <c r="N713" s="1035" t="s">
        <v>2483</v>
      </c>
      <c r="O713" s="939" t="s">
        <v>76</v>
      </c>
      <c r="P713" s="937">
        <f t="shared" si="57"/>
        <v>43185</v>
      </c>
      <c r="Q713" s="937">
        <f t="shared" si="56"/>
        <v>43185</v>
      </c>
      <c r="R713" s="940" t="s">
        <v>2484</v>
      </c>
      <c r="S713" s="943" t="s">
        <v>2006</v>
      </c>
      <c r="T713" s="943"/>
      <c r="U713" s="936"/>
    </row>
    <row r="714" spans="1:21" hidden="1">
      <c r="A714" s="936" t="s">
        <v>2479</v>
      </c>
      <c r="B714" s="937">
        <v>43185</v>
      </c>
      <c r="C714" s="936">
        <v>4</v>
      </c>
      <c r="D714" s="936">
        <v>6</v>
      </c>
      <c r="E714" s="936"/>
      <c r="F714" s="936"/>
      <c r="G714" s="1035" t="s">
        <v>2550</v>
      </c>
      <c r="H714" s="939"/>
      <c r="I714" s="939" t="s">
        <v>2313</v>
      </c>
      <c r="J714" s="939"/>
      <c r="K714" s="939"/>
      <c r="L714" s="939"/>
      <c r="M714" s="1035" t="s">
        <v>2545</v>
      </c>
      <c r="N714" s="1035" t="s">
        <v>2483</v>
      </c>
      <c r="O714" s="939" t="s">
        <v>76</v>
      </c>
      <c r="P714" s="937">
        <f t="shared" si="57"/>
        <v>43185</v>
      </c>
      <c r="Q714" s="937">
        <f t="shared" si="56"/>
        <v>43185</v>
      </c>
      <c r="R714" s="940" t="s">
        <v>2484</v>
      </c>
      <c r="S714" s="941"/>
      <c r="T714" s="941"/>
      <c r="U714" s="936"/>
    </row>
    <row r="715" spans="1:21" hidden="1">
      <c r="A715" s="936" t="s">
        <v>2479</v>
      </c>
      <c r="B715" s="937">
        <v>43185</v>
      </c>
      <c r="C715" s="936">
        <v>4</v>
      </c>
      <c r="D715" s="936">
        <v>6</v>
      </c>
      <c r="E715" s="936"/>
      <c r="F715" s="936"/>
      <c r="G715" s="1035" t="s">
        <v>2547</v>
      </c>
      <c r="H715" s="939"/>
      <c r="I715" s="939" t="s">
        <v>2313</v>
      </c>
      <c r="J715" s="939"/>
      <c r="K715" s="939"/>
      <c r="L715" s="939"/>
      <c r="M715" s="1035" t="s">
        <v>2551</v>
      </c>
      <c r="N715" s="1035" t="s">
        <v>2483</v>
      </c>
      <c r="O715" s="939" t="s">
        <v>76</v>
      </c>
      <c r="P715" s="937">
        <f t="shared" si="57"/>
        <v>43185</v>
      </c>
      <c r="Q715" s="937">
        <f t="shared" si="56"/>
        <v>43185</v>
      </c>
      <c r="R715" s="940" t="s">
        <v>2484</v>
      </c>
      <c r="S715" s="941"/>
      <c r="T715" s="941"/>
      <c r="U715" s="936"/>
    </row>
    <row r="716" spans="1:21" hidden="1">
      <c r="A716" s="936" t="s">
        <v>2479</v>
      </c>
      <c r="B716" s="937">
        <v>43185</v>
      </c>
      <c r="C716" s="936">
        <v>4</v>
      </c>
      <c r="D716" s="936">
        <v>6</v>
      </c>
      <c r="E716" s="936"/>
      <c r="F716" s="936"/>
      <c r="G716" s="1035" t="s">
        <v>2548</v>
      </c>
      <c r="H716" s="939"/>
      <c r="I716" s="939" t="s">
        <v>2313</v>
      </c>
      <c r="J716" s="939"/>
      <c r="K716" s="939"/>
      <c r="L716" s="939"/>
      <c r="M716" s="1035" t="s">
        <v>2551</v>
      </c>
      <c r="N716" s="1035" t="s">
        <v>2483</v>
      </c>
      <c r="O716" s="939" t="s">
        <v>76</v>
      </c>
      <c r="P716" s="937">
        <f t="shared" si="57"/>
        <v>43185</v>
      </c>
      <c r="Q716" s="937">
        <f t="shared" si="56"/>
        <v>43185</v>
      </c>
      <c r="R716" s="940" t="s">
        <v>2484</v>
      </c>
      <c r="S716" s="941"/>
      <c r="T716" s="941"/>
      <c r="U716" s="936"/>
    </row>
    <row r="717" spans="1:21" ht="32.25" hidden="1" customHeight="1">
      <c r="A717" s="936" t="s">
        <v>2479</v>
      </c>
      <c r="B717" s="937">
        <v>43185</v>
      </c>
      <c r="C717" s="936">
        <v>4</v>
      </c>
      <c r="D717" s="936">
        <v>7</v>
      </c>
      <c r="E717" s="936"/>
      <c r="F717" s="936"/>
      <c r="G717" s="1035" t="s">
        <v>2549</v>
      </c>
      <c r="H717" s="939"/>
      <c r="I717" s="939" t="s">
        <v>2313</v>
      </c>
      <c r="J717" s="939"/>
      <c r="K717" s="939"/>
      <c r="L717" s="939"/>
      <c r="M717" s="1035" t="s">
        <v>2551</v>
      </c>
      <c r="N717" s="1035" t="s">
        <v>2483</v>
      </c>
      <c r="O717" s="939" t="s">
        <v>76</v>
      </c>
      <c r="P717" s="937">
        <f t="shared" si="57"/>
        <v>43185</v>
      </c>
      <c r="Q717" s="937">
        <f t="shared" si="56"/>
        <v>43185</v>
      </c>
      <c r="R717" s="940" t="s">
        <v>2484</v>
      </c>
      <c r="S717" s="941"/>
      <c r="T717" s="941"/>
      <c r="U717" s="936"/>
    </row>
    <row r="718" spans="1:21" hidden="1">
      <c r="A718" s="936" t="s">
        <v>2479</v>
      </c>
      <c r="B718" s="937">
        <v>43185</v>
      </c>
      <c r="C718" s="936">
        <v>4</v>
      </c>
      <c r="D718" s="936">
        <v>7</v>
      </c>
      <c r="E718" s="936"/>
      <c r="F718" s="936"/>
      <c r="G718" s="1035" t="s">
        <v>2550</v>
      </c>
      <c r="H718" s="939"/>
      <c r="I718" s="939" t="s">
        <v>2313</v>
      </c>
      <c r="J718" s="939"/>
      <c r="K718" s="939"/>
      <c r="L718" s="939"/>
      <c r="M718" s="1035" t="s">
        <v>2551</v>
      </c>
      <c r="N718" s="1035" t="s">
        <v>2483</v>
      </c>
      <c r="O718" s="939" t="s">
        <v>76</v>
      </c>
      <c r="P718" s="937">
        <f t="shared" si="57"/>
        <v>43185</v>
      </c>
      <c r="Q718" s="937">
        <f t="shared" si="56"/>
        <v>43185</v>
      </c>
      <c r="R718" s="940" t="s">
        <v>2484</v>
      </c>
      <c r="S718" s="941"/>
      <c r="T718" s="941"/>
      <c r="U718" s="936"/>
    </row>
    <row r="719" spans="1:21" hidden="1">
      <c r="A719" s="936" t="s">
        <v>2479</v>
      </c>
      <c r="B719" s="937">
        <v>43185</v>
      </c>
      <c r="C719" s="936">
        <v>4</v>
      </c>
      <c r="D719" s="936">
        <v>7</v>
      </c>
      <c r="E719" s="936"/>
      <c r="F719" s="936"/>
      <c r="G719" s="1035" t="s">
        <v>2550</v>
      </c>
      <c r="H719" s="939"/>
      <c r="I719" s="939" t="s">
        <v>2313</v>
      </c>
      <c r="J719" s="939"/>
      <c r="K719" s="939"/>
      <c r="L719" s="939"/>
      <c r="M719" s="1035" t="s">
        <v>2552</v>
      </c>
      <c r="N719" s="1035" t="s">
        <v>2483</v>
      </c>
      <c r="O719" s="939" t="s">
        <v>76</v>
      </c>
      <c r="P719" s="937">
        <f t="shared" si="57"/>
        <v>43185</v>
      </c>
      <c r="Q719" s="937">
        <f t="shared" si="56"/>
        <v>43185</v>
      </c>
      <c r="R719" s="940" t="s">
        <v>2484</v>
      </c>
      <c r="S719" s="941"/>
      <c r="T719" s="941"/>
      <c r="U719" s="936"/>
    </row>
    <row r="720" spans="1:21" hidden="1">
      <c r="A720" s="936" t="s">
        <v>2479</v>
      </c>
      <c r="B720" s="937">
        <v>43185</v>
      </c>
      <c r="C720" s="936">
        <v>4</v>
      </c>
      <c r="D720" s="936">
        <v>7</v>
      </c>
      <c r="E720" s="936"/>
      <c r="F720" s="936"/>
      <c r="G720" s="1035" t="s">
        <v>1521</v>
      </c>
      <c r="H720" s="939"/>
      <c r="I720" s="939" t="s">
        <v>2313</v>
      </c>
      <c r="J720" s="939"/>
      <c r="K720" s="939"/>
      <c r="L720" s="939"/>
      <c r="M720" s="1035" t="s">
        <v>2553</v>
      </c>
      <c r="N720" s="1035" t="s">
        <v>2483</v>
      </c>
      <c r="O720" s="939" t="s">
        <v>76</v>
      </c>
      <c r="P720" s="937">
        <f t="shared" si="57"/>
        <v>43185</v>
      </c>
      <c r="Q720" s="937">
        <f t="shared" si="56"/>
        <v>43185</v>
      </c>
      <c r="R720" s="940" t="s">
        <v>2484</v>
      </c>
      <c r="S720" s="941"/>
      <c r="T720" s="941"/>
      <c r="U720" s="936"/>
    </row>
    <row r="721" spans="1:21" ht="25.5" hidden="1">
      <c r="A721" s="936" t="s">
        <v>2479</v>
      </c>
      <c r="B721" s="937">
        <v>43185</v>
      </c>
      <c r="C721" s="936">
        <v>4</v>
      </c>
      <c r="D721" s="936">
        <v>7</v>
      </c>
      <c r="E721" s="936"/>
      <c r="F721" s="936"/>
      <c r="G721" s="1035" t="s">
        <v>2554</v>
      </c>
      <c r="H721" s="939"/>
      <c r="I721" s="939" t="s">
        <v>2313</v>
      </c>
      <c r="J721" s="939"/>
      <c r="K721" s="939"/>
      <c r="L721" s="939"/>
      <c r="M721" s="1035" t="s">
        <v>2555</v>
      </c>
      <c r="N721" s="1035" t="s">
        <v>2483</v>
      </c>
      <c r="O721" s="939" t="s">
        <v>76</v>
      </c>
      <c r="P721" s="937">
        <f t="shared" si="57"/>
        <v>43185</v>
      </c>
      <c r="Q721" s="937">
        <f t="shared" si="56"/>
        <v>43185</v>
      </c>
      <c r="R721" s="940" t="s">
        <v>2484</v>
      </c>
      <c r="S721" s="941"/>
      <c r="T721" s="941"/>
      <c r="U721" s="936"/>
    </row>
    <row r="722" spans="1:21" ht="32.25" hidden="1" customHeight="1">
      <c r="A722" s="936" t="s">
        <v>2479</v>
      </c>
      <c r="B722" s="937">
        <v>43185</v>
      </c>
      <c r="C722" s="936">
        <v>4</v>
      </c>
      <c r="D722" s="936">
        <v>7</v>
      </c>
      <c r="E722" s="936"/>
      <c r="F722" s="936"/>
      <c r="G722" s="1035" t="s">
        <v>2556</v>
      </c>
      <c r="H722" s="939"/>
      <c r="I722" s="939" t="s">
        <v>2313</v>
      </c>
      <c r="J722" s="939"/>
      <c r="K722" s="939"/>
      <c r="L722" s="939"/>
      <c r="M722" s="1035" t="s">
        <v>2557</v>
      </c>
      <c r="N722" s="1035" t="s">
        <v>2483</v>
      </c>
      <c r="O722" s="939" t="s">
        <v>76</v>
      </c>
      <c r="P722" s="937">
        <f t="shared" si="57"/>
        <v>43185</v>
      </c>
      <c r="Q722" s="937">
        <f t="shared" si="56"/>
        <v>43185</v>
      </c>
      <c r="R722" s="940" t="s">
        <v>2484</v>
      </c>
      <c r="S722" s="941"/>
      <c r="T722" s="941"/>
      <c r="U722" s="936"/>
    </row>
    <row r="723" spans="1:21" hidden="1">
      <c r="A723" s="936" t="s">
        <v>2479</v>
      </c>
      <c r="B723" s="937">
        <v>43185</v>
      </c>
      <c r="C723" s="936">
        <v>4</v>
      </c>
      <c r="D723" s="936">
        <v>7</v>
      </c>
      <c r="E723" s="936"/>
      <c r="F723" s="936"/>
      <c r="G723" s="1035" t="s">
        <v>2558</v>
      </c>
      <c r="H723" s="939"/>
      <c r="I723" s="939" t="s">
        <v>2313</v>
      </c>
      <c r="J723" s="939"/>
      <c r="K723" s="939"/>
      <c r="L723" s="939"/>
      <c r="M723" s="1035" t="s">
        <v>2559</v>
      </c>
      <c r="N723" s="1035" t="s">
        <v>2483</v>
      </c>
      <c r="O723" s="939" t="s">
        <v>76</v>
      </c>
      <c r="P723" s="937">
        <f t="shared" si="57"/>
        <v>43185</v>
      </c>
      <c r="Q723" s="937">
        <f t="shared" si="56"/>
        <v>43185</v>
      </c>
      <c r="R723" s="940" t="s">
        <v>2484</v>
      </c>
      <c r="S723" s="941"/>
      <c r="T723" s="941"/>
      <c r="U723" s="936"/>
    </row>
    <row r="724" spans="1:21" hidden="1">
      <c r="A724" s="936" t="s">
        <v>2479</v>
      </c>
      <c r="B724" s="937">
        <v>43185</v>
      </c>
      <c r="C724" s="936">
        <v>4</v>
      </c>
      <c r="D724" s="936">
        <v>7</v>
      </c>
      <c r="E724" s="936"/>
      <c r="F724" s="936"/>
      <c r="G724" s="1035" t="s">
        <v>2560</v>
      </c>
      <c r="H724" s="939"/>
      <c r="I724" s="939" t="s">
        <v>2313</v>
      </c>
      <c r="J724" s="939"/>
      <c r="K724" s="939"/>
      <c r="L724" s="939"/>
      <c r="M724" s="1035" t="s">
        <v>2501</v>
      </c>
      <c r="N724" s="1035" t="s">
        <v>2541</v>
      </c>
      <c r="O724" s="939" t="s">
        <v>76</v>
      </c>
      <c r="P724" s="937">
        <f t="shared" si="57"/>
        <v>43185</v>
      </c>
      <c r="Q724" s="937">
        <f t="shared" si="56"/>
        <v>43185</v>
      </c>
      <c r="R724" s="940" t="s">
        <v>2484</v>
      </c>
      <c r="S724" s="941"/>
      <c r="T724" s="941"/>
      <c r="U724" s="936"/>
    </row>
    <row r="725" spans="1:21" hidden="1">
      <c r="A725" s="936" t="s">
        <v>2479</v>
      </c>
      <c r="B725" s="937">
        <v>43185</v>
      </c>
      <c r="C725" s="936">
        <v>4</v>
      </c>
      <c r="D725" s="936">
        <v>7</v>
      </c>
      <c r="E725" s="936"/>
      <c r="F725" s="936"/>
      <c r="G725" s="1035" t="s">
        <v>2561</v>
      </c>
      <c r="H725" s="939"/>
      <c r="I725" s="939" t="s">
        <v>2313</v>
      </c>
      <c r="J725" s="939"/>
      <c r="K725" s="939"/>
      <c r="L725" s="939"/>
      <c r="M725" s="1035" t="s">
        <v>2562</v>
      </c>
      <c r="N725" s="1035" t="s">
        <v>2541</v>
      </c>
      <c r="O725" s="939" t="s">
        <v>76</v>
      </c>
      <c r="P725" s="937">
        <f t="shared" si="57"/>
        <v>43185</v>
      </c>
      <c r="Q725" s="937">
        <f t="shared" si="56"/>
        <v>43185</v>
      </c>
      <c r="R725" s="940" t="s">
        <v>2484</v>
      </c>
      <c r="S725" s="941"/>
      <c r="T725" s="941"/>
      <c r="U725" s="936"/>
    </row>
    <row r="726" spans="1:21" ht="25.5" hidden="1">
      <c r="A726" s="936" t="s">
        <v>2479</v>
      </c>
      <c r="B726" s="937">
        <v>43185</v>
      </c>
      <c r="C726" s="936">
        <v>4</v>
      </c>
      <c r="D726" s="936">
        <v>7</v>
      </c>
      <c r="E726" s="936"/>
      <c r="F726" s="936"/>
      <c r="G726" s="1035" t="s">
        <v>2563</v>
      </c>
      <c r="H726" s="939"/>
      <c r="I726" s="939" t="s">
        <v>2313</v>
      </c>
      <c r="J726" s="939"/>
      <c r="K726" s="939"/>
      <c r="L726" s="939"/>
      <c r="M726" s="1035" t="s">
        <v>2564</v>
      </c>
      <c r="N726" s="1035" t="s">
        <v>2541</v>
      </c>
      <c r="O726" s="939" t="s">
        <v>76</v>
      </c>
      <c r="P726" s="937">
        <f t="shared" si="57"/>
        <v>43185</v>
      </c>
      <c r="Q726" s="937">
        <f t="shared" si="56"/>
        <v>43185</v>
      </c>
      <c r="R726" s="940" t="s">
        <v>2484</v>
      </c>
      <c r="S726" s="941"/>
      <c r="T726" s="941"/>
      <c r="U726" s="936"/>
    </row>
    <row r="727" spans="1:21" hidden="1">
      <c r="A727" s="936" t="s">
        <v>2479</v>
      </c>
      <c r="B727" s="937">
        <v>43185</v>
      </c>
      <c r="C727" s="936">
        <v>4</v>
      </c>
      <c r="D727" s="936">
        <v>7</v>
      </c>
      <c r="E727" s="936"/>
      <c r="F727" s="936"/>
      <c r="G727" s="1035" t="s">
        <v>2565</v>
      </c>
      <c r="H727" s="939"/>
      <c r="I727" s="939" t="s">
        <v>2313</v>
      </c>
      <c r="J727" s="939"/>
      <c r="K727" s="939"/>
      <c r="L727" s="939"/>
      <c r="M727" s="1035" t="s">
        <v>2566</v>
      </c>
      <c r="N727" s="1035" t="s">
        <v>2483</v>
      </c>
      <c r="O727" s="939" t="s">
        <v>76</v>
      </c>
      <c r="P727" s="937">
        <f t="shared" si="57"/>
        <v>43185</v>
      </c>
      <c r="Q727" s="937">
        <f t="shared" si="56"/>
        <v>43185</v>
      </c>
      <c r="R727" s="940" t="s">
        <v>2484</v>
      </c>
      <c r="S727" s="941"/>
      <c r="T727" s="941"/>
      <c r="U727" s="936"/>
    </row>
    <row r="728" spans="1:21" hidden="1">
      <c r="A728" s="936" t="s">
        <v>2479</v>
      </c>
      <c r="B728" s="937">
        <v>43185</v>
      </c>
      <c r="C728" s="936">
        <v>4</v>
      </c>
      <c r="D728" s="936">
        <v>7</v>
      </c>
      <c r="E728" s="936"/>
      <c r="F728" s="936"/>
      <c r="G728" s="1035" t="s">
        <v>2567</v>
      </c>
      <c r="H728" s="939"/>
      <c r="I728" s="939" t="s">
        <v>2313</v>
      </c>
      <c r="J728" s="939"/>
      <c r="K728" s="939"/>
      <c r="L728" s="939"/>
      <c r="M728" s="1035" t="s">
        <v>2562</v>
      </c>
      <c r="N728" s="1035" t="s">
        <v>2541</v>
      </c>
      <c r="O728" s="939" t="s">
        <v>76</v>
      </c>
      <c r="P728" s="937">
        <f t="shared" si="57"/>
        <v>43185</v>
      </c>
      <c r="Q728" s="937">
        <f t="shared" si="56"/>
        <v>43185</v>
      </c>
      <c r="R728" s="940" t="s">
        <v>2484</v>
      </c>
      <c r="S728" s="941"/>
      <c r="T728" s="941"/>
      <c r="U728" s="936"/>
    </row>
    <row r="729" spans="1:21" ht="25.5" hidden="1">
      <c r="A729" s="936" t="s">
        <v>2479</v>
      </c>
      <c r="B729" s="937">
        <v>43185</v>
      </c>
      <c r="C729" s="936">
        <v>4</v>
      </c>
      <c r="D729" s="936">
        <v>7</v>
      </c>
      <c r="E729" s="936"/>
      <c r="F729" s="936"/>
      <c r="G729" s="1035" t="s">
        <v>2568</v>
      </c>
      <c r="H729" s="939"/>
      <c r="I729" s="939" t="s">
        <v>2313</v>
      </c>
      <c r="J729" s="939"/>
      <c r="K729" s="939"/>
      <c r="L729" s="939"/>
      <c r="M729" s="1035" t="s">
        <v>2533</v>
      </c>
      <c r="N729" s="1035" t="s">
        <v>2541</v>
      </c>
      <c r="O729" s="939" t="s">
        <v>76</v>
      </c>
      <c r="P729" s="937">
        <f t="shared" si="57"/>
        <v>43185</v>
      </c>
      <c r="Q729" s="937">
        <f t="shared" si="56"/>
        <v>43185</v>
      </c>
      <c r="R729" s="940" t="s">
        <v>2484</v>
      </c>
      <c r="S729" s="941"/>
      <c r="T729" s="941"/>
      <c r="U729" s="936"/>
    </row>
    <row r="730" spans="1:21" hidden="1">
      <c r="A730" s="936" t="s">
        <v>2479</v>
      </c>
      <c r="B730" s="937">
        <v>43185</v>
      </c>
      <c r="C730" s="936">
        <v>4</v>
      </c>
      <c r="D730" s="936">
        <v>7</v>
      </c>
      <c r="E730" s="936"/>
      <c r="F730" s="936"/>
      <c r="G730" s="1035" t="s">
        <v>2567</v>
      </c>
      <c r="H730" s="939"/>
      <c r="I730" s="939" t="s">
        <v>2313</v>
      </c>
      <c r="J730" s="939"/>
      <c r="K730" s="939"/>
      <c r="L730" s="939"/>
      <c r="M730" s="1035" t="s">
        <v>2569</v>
      </c>
      <c r="N730" s="1035" t="s">
        <v>2541</v>
      </c>
      <c r="O730" s="939" t="s">
        <v>76</v>
      </c>
      <c r="P730" s="937">
        <f t="shared" si="57"/>
        <v>43185</v>
      </c>
      <c r="Q730" s="937">
        <f t="shared" si="56"/>
        <v>43185</v>
      </c>
      <c r="R730" s="940" t="s">
        <v>2484</v>
      </c>
      <c r="S730" s="941"/>
      <c r="T730" s="941"/>
      <c r="U730" s="936"/>
    </row>
    <row r="731" spans="1:21" ht="25.5" hidden="1">
      <c r="A731" s="936" t="s">
        <v>2479</v>
      </c>
      <c r="B731" s="937">
        <v>43185</v>
      </c>
      <c r="C731" s="936">
        <v>4</v>
      </c>
      <c r="D731" s="936">
        <v>7</v>
      </c>
      <c r="E731" s="942" t="s">
        <v>1127</v>
      </c>
      <c r="F731" s="942"/>
      <c r="G731" s="1035" t="s">
        <v>2570</v>
      </c>
      <c r="H731" s="939"/>
      <c r="I731" s="939" t="s">
        <v>550</v>
      </c>
      <c r="J731" s="939"/>
      <c r="K731" s="939"/>
      <c r="L731" s="939"/>
      <c r="M731" s="1035" t="s">
        <v>2571</v>
      </c>
      <c r="N731" s="1035" t="s">
        <v>2541</v>
      </c>
      <c r="O731" s="939" t="s">
        <v>76</v>
      </c>
      <c r="P731" s="937">
        <f t="shared" si="57"/>
        <v>43185</v>
      </c>
      <c r="Q731" s="937">
        <f t="shared" si="56"/>
        <v>43185</v>
      </c>
      <c r="R731" s="940" t="s">
        <v>2484</v>
      </c>
      <c r="S731" s="943" t="s">
        <v>2089</v>
      </c>
      <c r="T731" s="943"/>
      <c r="U731" s="936"/>
    </row>
    <row r="732" spans="1:21" ht="25.5" hidden="1">
      <c r="A732" s="936" t="s">
        <v>2479</v>
      </c>
      <c r="B732" s="937">
        <v>43185</v>
      </c>
      <c r="C732" s="936">
        <v>4</v>
      </c>
      <c r="D732" s="936">
        <v>8</v>
      </c>
      <c r="E732" s="942" t="s">
        <v>1113</v>
      </c>
      <c r="F732" s="942"/>
      <c r="G732" s="1035" t="s">
        <v>2572</v>
      </c>
      <c r="H732" s="939"/>
      <c r="I732" s="939" t="s">
        <v>550</v>
      </c>
      <c r="J732" s="939"/>
      <c r="K732" s="939"/>
      <c r="L732" s="939"/>
      <c r="M732" s="1035" t="s">
        <v>2571</v>
      </c>
      <c r="N732" s="1035" t="s">
        <v>2541</v>
      </c>
      <c r="O732" s="939" t="s">
        <v>76</v>
      </c>
      <c r="P732" s="937">
        <f t="shared" si="57"/>
        <v>43185</v>
      </c>
      <c r="Q732" s="937">
        <f t="shared" si="56"/>
        <v>43185</v>
      </c>
      <c r="R732" s="940" t="s">
        <v>2484</v>
      </c>
      <c r="S732" s="943" t="s">
        <v>2086</v>
      </c>
      <c r="T732" s="943"/>
      <c r="U732" s="936"/>
    </row>
    <row r="733" spans="1:21" ht="25.5" hidden="1">
      <c r="A733" s="936" t="s">
        <v>2479</v>
      </c>
      <c r="B733" s="937">
        <v>43185</v>
      </c>
      <c r="C733" s="936">
        <v>4</v>
      </c>
      <c r="D733" s="936">
        <v>8</v>
      </c>
      <c r="E733" s="936"/>
      <c r="F733" s="936"/>
      <c r="G733" s="1035" t="s">
        <v>2570</v>
      </c>
      <c r="H733" s="939"/>
      <c r="I733" s="939" t="s">
        <v>2313</v>
      </c>
      <c r="J733" s="939"/>
      <c r="K733" s="939"/>
      <c r="L733" s="939"/>
      <c r="M733" s="1035" t="s">
        <v>2573</v>
      </c>
      <c r="N733" s="1035" t="s">
        <v>2541</v>
      </c>
      <c r="O733" s="939" t="s">
        <v>76</v>
      </c>
      <c r="P733" s="937">
        <f t="shared" si="57"/>
        <v>43185</v>
      </c>
      <c r="Q733" s="937">
        <f t="shared" si="56"/>
        <v>43185</v>
      </c>
      <c r="R733" s="940" t="s">
        <v>2484</v>
      </c>
      <c r="S733" s="941"/>
      <c r="T733" s="941"/>
      <c r="U733" s="936"/>
    </row>
    <row r="734" spans="1:21" ht="25.5" hidden="1">
      <c r="A734" s="936" t="s">
        <v>2479</v>
      </c>
      <c r="B734" s="937">
        <v>43185</v>
      </c>
      <c r="C734" s="936">
        <v>4</v>
      </c>
      <c r="D734" s="936">
        <v>8</v>
      </c>
      <c r="E734" s="936"/>
      <c r="F734" s="936"/>
      <c r="G734" s="1035" t="s">
        <v>2572</v>
      </c>
      <c r="H734" s="939"/>
      <c r="I734" s="939" t="s">
        <v>2313</v>
      </c>
      <c r="J734" s="939"/>
      <c r="K734" s="939"/>
      <c r="L734" s="939"/>
      <c r="M734" s="1035" t="s">
        <v>2573</v>
      </c>
      <c r="N734" s="1035" t="s">
        <v>2541</v>
      </c>
      <c r="O734" s="939" t="s">
        <v>76</v>
      </c>
      <c r="P734" s="937">
        <f t="shared" si="57"/>
        <v>43185</v>
      </c>
      <c r="Q734" s="937">
        <f t="shared" si="56"/>
        <v>43185</v>
      </c>
      <c r="R734" s="940" t="s">
        <v>2484</v>
      </c>
      <c r="S734" s="941"/>
      <c r="T734" s="941"/>
      <c r="U734" s="936"/>
    </row>
    <row r="735" spans="1:21" ht="37.5" hidden="1" customHeight="1">
      <c r="A735" s="936" t="s">
        <v>2479</v>
      </c>
      <c r="B735" s="937">
        <v>43185</v>
      </c>
      <c r="C735" s="936">
        <v>4</v>
      </c>
      <c r="D735" s="936">
        <v>8</v>
      </c>
      <c r="E735" s="942" t="s">
        <v>1132</v>
      </c>
      <c r="F735" s="942"/>
      <c r="G735" s="1035" t="s">
        <v>2574</v>
      </c>
      <c r="H735" s="939"/>
      <c r="I735" s="939" t="s">
        <v>550</v>
      </c>
      <c r="J735" s="939"/>
      <c r="K735" s="939"/>
      <c r="L735" s="939"/>
      <c r="M735" s="1035" t="s">
        <v>2514</v>
      </c>
      <c r="N735" s="1035" t="s">
        <v>2515</v>
      </c>
      <c r="O735" s="939" t="s">
        <v>76</v>
      </c>
      <c r="P735" s="937">
        <f t="shared" si="57"/>
        <v>43185</v>
      </c>
      <c r="Q735" s="937">
        <f t="shared" si="56"/>
        <v>43185</v>
      </c>
      <c r="R735" s="940" t="s">
        <v>2484</v>
      </c>
      <c r="S735" s="943" t="s">
        <v>2091</v>
      </c>
      <c r="T735" s="943"/>
      <c r="U735" s="936"/>
    </row>
    <row r="736" spans="1:21" hidden="1">
      <c r="A736" s="936" t="s">
        <v>2479</v>
      </c>
      <c r="B736" s="937">
        <v>43185</v>
      </c>
      <c r="C736" s="936">
        <v>4</v>
      </c>
      <c r="D736" s="936">
        <v>8</v>
      </c>
      <c r="E736" s="936"/>
      <c r="F736" s="936"/>
      <c r="G736" s="1035" t="s">
        <v>2575</v>
      </c>
      <c r="H736" s="939"/>
      <c r="I736" s="939" t="s">
        <v>2313</v>
      </c>
      <c r="J736" s="939"/>
      <c r="K736" s="939"/>
      <c r="L736" s="939"/>
      <c r="M736" s="1035" t="s">
        <v>2576</v>
      </c>
      <c r="N736" s="1035" t="s">
        <v>2515</v>
      </c>
      <c r="O736" s="939" t="s">
        <v>76</v>
      </c>
      <c r="P736" s="937">
        <f t="shared" ref="P736:P767" si="58">B736</f>
        <v>43185</v>
      </c>
      <c r="Q736" s="937">
        <f t="shared" si="56"/>
        <v>43185</v>
      </c>
      <c r="R736" s="940" t="s">
        <v>2484</v>
      </c>
      <c r="S736" s="941"/>
      <c r="T736" s="941"/>
      <c r="U736" s="936"/>
    </row>
    <row r="737" spans="1:21" hidden="1">
      <c r="A737" s="936" t="s">
        <v>2479</v>
      </c>
      <c r="B737" s="937">
        <v>43185</v>
      </c>
      <c r="C737" s="936">
        <v>4</v>
      </c>
      <c r="D737" s="936">
        <v>8</v>
      </c>
      <c r="E737" s="936"/>
      <c r="F737" s="936"/>
      <c r="G737" s="1035" t="s">
        <v>2577</v>
      </c>
      <c r="H737" s="939"/>
      <c r="I737" s="939" t="s">
        <v>2313</v>
      </c>
      <c r="J737" s="939"/>
      <c r="K737" s="939"/>
      <c r="L737" s="939"/>
      <c r="M737" s="1035" t="s">
        <v>67</v>
      </c>
      <c r="N737" s="1035" t="s">
        <v>2578</v>
      </c>
      <c r="O737" s="939" t="s">
        <v>76</v>
      </c>
      <c r="P737" s="937">
        <f t="shared" si="58"/>
        <v>43185</v>
      </c>
      <c r="Q737" s="937">
        <f t="shared" si="56"/>
        <v>43185</v>
      </c>
      <c r="R737" s="940" t="s">
        <v>2484</v>
      </c>
      <c r="S737" s="941"/>
      <c r="T737" s="941"/>
      <c r="U737" s="936"/>
    </row>
    <row r="738" spans="1:21" hidden="1">
      <c r="A738" s="936" t="s">
        <v>2479</v>
      </c>
      <c r="B738" s="937">
        <v>43185</v>
      </c>
      <c r="C738" s="936">
        <v>4</v>
      </c>
      <c r="D738" s="936">
        <v>8</v>
      </c>
      <c r="E738" s="936"/>
      <c r="F738" s="936"/>
      <c r="G738" s="1035" t="s">
        <v>2567</v>
      </c>
      <c r="H738" s="939"/>
      <c r="I738" s="939" t="s">
        <v>2313</v>
      </c>
      <c r="J738" s="939"/>
      <c r="K738" s="939"/>
      <c r="L738" s="939"/>
      <c r="M738" s="1035" t="s">
        <v>2579</v>
      </c>
      <c r="N738" s="1035" t="s">
        <v>2580</v>
      </c>
      <c r="O738" s="939" t="s">
        <v>76</v>
      </c>
      <c r="P738" s="937">
        <f t="shared" si="58"/>
        <v>43185</v>
      </c>
      <c r="Q738" s="937">
        <f t="shared" si="56"/>
        <v>43185</v>
      </c>
      <c r="R738" s="940" t="s">
        <v>2484</v>
      </c>
      <c r="S738" s="941"/>
      <c r="T738" s="941"/>
      <c r="U738" s="936"/>
    </row>
    <row r="739" spans="1:21" hidden="1">
      <c r="A739" s="936" t="s">
        <v>2479</v>
      </c>
      <c r="B739" s="937">
        <v>43185</v>
      </c>
      <c r="C739" s="936">
        <v>4</v>
      </c>
      <c r="D739" s="936">
        <v>8</v>
      </c>
      <c r="E739" s="938"/>
      <c r="F739" s="938"/>
      <c r="G739" s="1035" t="s">
        <v>2581</v>
      </c>
      <c r="H739" s="939"/>
      <c r="I739" s="939" t="s">
        <v>2313</v>
      </c>
      <c r="J739" s="939"/>
      <c r="K739" s="939"/>
      <c r="L739" s="939"/>
      <c r="M739" s="1035" t="s">
        <v>2531</v>
      </c>
      <c r="N739" s="1035" t="s">
        <v>2527</v>
      </c>
      <c r="O739" s="939" t="s">
        <v>76</v>
      </c>
      <c r="P739" s="937">
        <f t="shared" si="58"/>
        <v>43185</v>
      </c>
      <c r="Q739" s="937">
        <f t="shared" si="56"/>
        <v>43185</v>
      </c>
      <c r="R739" s="940" t="s">
        <v>2484</v>
      </c>
      <c r="S739" s="941"/>
      <c r="T739" s="941"/>
      <c r="U739" s="936"/>
    </row>
    <row r="740" spans="1:21" hidden="1">
      <c r="A740" s="936" t="s">
        <v>2479</v>
      </c>
      <c r="B740" s="937">
        <v>43185</v>
      </c>
      <c r="C740" s="936">
        <v>4</v>
      </c>
      <c r="D740" s="936">
        <v>8</v>
      </c>
      <c r="E740" s="936"/>
      <c r="F740" s="936"/>
      <c r="G740" s="1035" t="s">
        <v>2512</v>
      </c>
      <c r="H740" s="939"/>
      <c r="I740" s="939" t="s">
        <v>2313</v>
      </c>
      <c r="J740" s="939"/>
      <c r="K740" s="939"/>
      <c r="L740" s="939"/>
      <c r="M740" s="1035" t="s">
        <v>2531</v>
      </c>
      <c r="N740" s="1035" t="s">
        <v>2527</v>
      </c>
      <c r="O740" s="939" t="s">
        <v>76</v>
      </c>
      <c r="P740" s="937">
        <f t="shared" si="58"/>
        <v>43185</v>
      </c>
      <c r="Q740" s="937">
        <f t="shared" si="56"/>
        <v>43185</v>
      </c>
      <c r="R740" s="940" t="s">
        <v>2484</v>
      </c>
      <c r="S740" s="941"/>
      <c r="T740" s="941"/>
      <c r="U740" s="936"/>
    </row>
    <row r="741" spans="1:21" hidden="1">
      <c r="A741" s="936" t="s">
        <v>2479</v>
      </c>
      <c r="B741" s="937">
        <v>43185</v>
      </c>
      <c r="C741" s="936">
        <v>4</v>
      </c>
      <c r="D741" s="936">
        <v>8</v>
      </c>
      <c r="E741" s="936"/>
      <c r="F741" s="936"/>
      <c r="G741" s="1035" t="s">
        <v>2558</v>
      </c>
      <c r="H741" s="939"/>
      <c r="I741" s="939" t="s">
        <v>2313</v>
      </c>
      <c r="J741" s="939"/>
      <c r="K741" s="939"/>
      <c r="L741" s="939"/>
      <c r="M741" s="1035" t="s">
        <v>2531</v>
      </c>
      <c r="N741" s="1035" t="s">
        <v>2527</v>
      </c>
      <c r="O741" s="939" t="s">
        <v>76</v>
      </c>
      <c r="P741" s="937">
        <f t="shared" si="58"/>
        <v>43185</v>
      </c>
      <c r="Q741" s="937">
        <f t="shared" si="56"/>
        <v>43185</v>
      </c>
      <c r="R741" s="940" t="s">
        <v>2484</v>
      </c>
      <c r="S741" s="941"/>
      <c r="T741" s="941"/>
      <c r="U741" s="936"/>
    </row>
    <row r="742" spans="1:21" ht="25.5" hidden="1">
      <c r="A742" s="936" t="s">
        <v>2479</v>
      </c>
      <c r="B742" s="937">
        <v>43185</v>
      </c>
      <c r="C742" s="936">
        <v>4</v>
      </c>
      <c r="D742" s="936">
        <v>8</v>
      </c>
      <c r="E742" s="945" t="s">
        <v>1241</v>
      </c>
      <c r="F742" s="945"/>
      <c r="G742" s="1035" t="s">
        <v>2582</v>
      </c>
      <c r="H742" s="939"/>
      <c r="I742" s="939" t="s">
        <v>550</v>
      </c>
      <c r="J742" s="939"/>
      <c r="K742" s="939"/>
      <c r="L742" s="939"/>
      <c r="M742" s="1035" t="s">
        <v>2531</v>
      </c>
      <c r="N742" s="1035" t="s">
        <v>2527</v>
      </c>
      <c r="O742" s="939" t="s">
        <v>76</v>
      </c>
      <c r="P742" s="937">
        <f t="shared" si="58"/>
        <v>43185</v>
      </c>
      <c r="Q742" s="937">
        <f t="shared" ref="Q742:Q795" si="59">P742</f>
        <v>43185</v>
      </c>
      <c r="R742" s="940" t="s">
        <v>2484</v>
      </c>
      <c r="S742" s="943" t="s">
        <v>2136</v>
      </c>
      <c r="T742" s="943"/>
      <c r="U742" s="936"/>
    </row>
    <row r="743" spans="1:21" ht="25.5" hidden="1">
      <c r="A743" s="936" t="s">
        <v>2479</v>
      </c>
      <c r="B743" s="937">
        <v>43185</v>
      </c>
      <c r="C743" s="936">
        <v>4</v>
      </c>
      <c r="D743" s="936">
        <v>8</v>
      </c>
      <c r="E743" s="945" t="s">
        <v>1241</v>
      </c>
      <c r="F743" s="945"/>
      <c r="G743" s="1035" t="s">
        <v>2583</v>
      </c>
      <c r="H743" s="939"/>
      <c r="I743" s="939" t="s">
        <v>550</v>
      </c>
      <c r="J743" s="939"/>
      <c r="K743" s="939"/>
      <c r="L743" s="939"/>
      <c r="M743" s="1035" t="s">
        <v>2531</v>
      </c>
      <c r="N743" s="1035" t="s">
        <v>2527</v>
      </c>
      <c r="O743" s="939" t="s">
        <v>76</v>
      </c>
      <c r="P743" s="937">
        <f t="shared" si="58"/>
        <v>43185</v>
      </c>
      <c r="Q743" s="937">
        <f t="shared" si="59"/>
        <v>43185</v>
      </c>
      <c r="R743" s="940" t="s">
        <v>2484</v>
      </c>
      <c r="S743" s="943" t="s">
        <v>2136</v>
      </c>
      <c r="T743" s="943"/>
      <c r="U743" s="936"/>
    </row>
    <row r="744" spans="1:21" hidden="1">
      <c r="A744" s="936" t="s">
        <v>2479</v>
      </c>
      <c r="B744" s="937">
        <v>43185</v>
      </c>
      <c r="C744" s="936">
        <v>4</v>
      </c>
      <c r="D744" s="936">
        <v>8</v>
      </c>
      <c r="E744" s="945" t="s">
        <v>1241</v>
      </c>
      <c r="F744" s="945"/>
      <c r="G744" s="1035" t="s">
        <v>2584</v>
      </c>
      <c r="H744" s="939"/>
      <c r="I744" s="939" t="s">
        <v>550</v>
      </c>
      <c r="J744" s="939"/>
      <c r="K744" s="939"/>
      <c r="L744" s="939"/>
      <c r="M744" s="1035" t="s">
        <v>2531</v>
      </c>
      <c r="N744" s="1035" t="s">
        <v>2527</v>
      </c>
      <c r="O744" s="939" t="s">
        <v>76</v>
      </c>
      <c r="P744" s="937">
        <f t="shared" si="58"/>
        <v>43185</v>
      </c>
      <c r="Q744" s="937">
        <f t="shared" si="59"/>
        <v>43185</v>
      </c>
      <c r="R744" s="940" t="s">
        <v>2484</v>
      </c>
      <c r="S744" s="943" t="s">
        <v>2136</v>
      </c>
      <c r="T744" s="943"/>
      <c r="U744" s="936"/>
    </row>
    <row r="745" spans="1:21" hidden="1">
      <c r="A745" s="936" t="s">
        <v>2479</v>
      </c>
      <c r="B745" s="937">
        <v>43185</v>
      </c>
      <c r="C745" s="936">
        <v>4</v>
      </c>
      <c r="D745" s="936">
        <v>8</v>
      </c>
      <c r="E745" s="936"/>
      <c r="F745" s="936"/>
      <c r="G745" s="1035" t="s">
        <v>2585</v>
      </c>
      <c r="H745" s="939"/>
      <c r="I745" s="939" t="s">
        <v>2313</v>
      </c>
      <c r="J745" s="939"/>
      <c r="K745" s="939"/>
      <c r="L745" s="939"/>
      <c r="M745" s="1035" t="s">
        <v>2538</v>
      </c>
      <c r="N745" s="1035" t="s">
        <v>2527</v>
      </c>
      <c r="O745" s="939" t="s">
        <v>76</v>
      </c>
      <c r="P745" s="937">
        <f t="shared" si="58"/>
        <v>43185</v>
      </c>
      <c r="Q745" s="937">
        <f t="shared" si="59"/>
        <v>43185</v>
      </c>
      <c r="R745" s="940" t="s">
        <v>2484</v>
      </c>
      <c r="S745" s="941"/>
      <c r="T745" s="941"/>
      <c r="U745" s="936"/>
    </row>
    <row r="746" spans="1:21" hidden="1">
      <c r="A746" s="936" t="s">
        <v>2479</v>
      </c>
      <c r="B746" s="937">
        <v>43185</v>
      </c>
      <c r="C746" s="936">
        <v>4</v>
      </c>
      <c r="D746" s="936">
        <v>8</v>
      </c>
      <c r="E746" s="936"/>
      <c r="F746" s="936"/>
      <c r="G746" s="1035" t="s">
        <v>2586</v>
      </c>
      <c r="H746" s="939"/>
      <c r="I746" s="939" t="s">
        <v>2313</v>
      </c>
      <c r="J746" s="939"/>
      <c r="K746" s="939"/>
      <c r="L746" s="939"/>
      <c r="M746" s="1035" t="s">
        <v>2587</v>
      </c>
      <c r="N746" s="1035" t="s">
        <v>2527</v>
      </c>
      <c r="O746" s="939" t="s">
        <v>76</v>
      </c>
      <c r="P746" s="937">
        <f t="shared" si="58"/>
        <v>43185</v>
      </c>
      <c r="Q746" s="937">
        <f t="shared" si="59"/>
        <v>43185</v>
      </c>
      <c r="R746" s="940" t="s">
        <v>2484</v>
      </c>
      <c r="S746" s="941"/>
      <c r="T746" s="941"/>
      <c r="U746" s="936"/>
    </row>
    <row r="747" spans="1:21" hidden="1">
      <c r="A747" s="936" t="s">
        <v>2479</v>
      </c>
      <c r="B747" s="937">
        <v>43185</v>
      </c>
      <c r="C747" s="936">
        <v>4</v>
      </c>
      <c r="D747" s="936">
        <v>9</v>
      </c>
      <c r="E747" s="945" t="s">
        <v>1265</v>
      </c>
      <c r="F747" s="945"/>
      <c r="G747" s="1035" t="s">
        <v>2588</v>
      </c>
      <c r="H747" s="939"/>
      <c r="I747" s="939" t="s">
        <v>550</v>
      </c>
      <c r="J747" s="939"/>
      <c r="K747" s="939"/>
      <c r="L747" s="939"/>
      <c r="M747" s="1035" t="s">
        <v>2589</v>
      </c>
      <c r="N747" s="1035" t="s">
        <v>2527</v>
      </c>
      <c r="O747" s="939" t="s">
        <v>76</v>
      </c>
      <c r="P747" s="937">
        <f t="shared" si="58"/>
        <v>43185</v>
      </c>
      <c r="Q747" s="937">
        <f t="shared" si="59"/>
        <v>43185</v>
      </c>
      <c r="R747" s="940" t="s">
        <v>2484</v>
      </c>
      <c r="S747" s="943" t="s">
        <v>2149</v>
      </c>
      <c r="T747" s="943"/>
      <c r="U747" s="936"/>
    </row>
    <row r="748" spans="1:21" hidden="1">
      <c r="A748" s="936" t="s">
        <v>2479</v>
      </c>
      <c r="B748" s="937">
        <v>43185</v>
      </c>
      <c r="C748" s="936">
        <v>4</v>
      </c>
      <c r="D748" s="936">
        <v>9</v>
      </c>
      <c r="E748" s="936"/>
      <c r="F748" s="936"/>
      <c r="G748" s="1035" t="s">
        <v>2590</v>
      </c>
      <c r="H748" s="939"/>
      <c r="I748" s="939" t="s">
        <v>2313</v>
      </c>
      <c r="J748" s="939"/>
      <c r="K748" s="939"/>
      <c r="L748" s="939"/>
      <c r="M748" s="1035" t="s">
        <v>2591</v>
      </c>
      <c r="N748" s="1035" t="s">
        <v>2527</v>
      </c>
      <c r="O748" s="939" t="s">
        <v>76</v>
      </c>
      <c r="P748" s="937">
        <f t="shared" si="58"/>
        <v>43185</v>
      </c>
      <c r="Q748" s="937">
        <f t="shared" si="59"/>
        <v>43185</v>
      </c>
      <c r="R748" s="940" t="s">
        <v>2484</v>
      </c>
      <c r="S748" s="941"/>
      <c r="T748" s="941"/>
      <c r="U748" s="936"/>
    </row>
    <row r="749" spans="1:21" hidden="1">
      <c r="A749" s="936" t="s">
        <v>2479</v>
      </c>
      <c r="B749" s="937">
        <v>43185</v>
      </c>
      <c r="C749" s="936">
        <v>4</v>
      </c>
      <c r="D749" s="936">
        <v>9</v>
      </c>
      <c r="E749" s="936"/>
      <c r="F749" s="936"/>
      <c r="G749" s="1035" t="s">
        <v>2567</v>
      </c>
      <c r="H749" s="939"/>
      <c r="I749" s="939" t="s">
        <v>2313</v>
      </c>
      <c r="J749" s="939"/>
      <c r="K749" s="939"/>
      <c r="L749" s="939"/>
      <c r="M749" s="1035" t="s">
        <v>2592</v>
      </c>
      <c r="N749" s="1035" t="s">
        <v>2527</v>
      </c>
      <c r="O749" s="939" t="s">
        <v>76</v>
      </c>
      <c r="P749" s="937">
        <f t="shared" si="58"/>
        <v>43185</v>
      </c>
      <c r="Q749" s="937">
        <f t="shared" si="59"/>
        <v>43185</v>
      </c>
      <c r="R749" s="940" t="s">
        <v>2484</v>
      </c>
      <c r="S749" s="941"/>
      <c r="T749" s="941"/>
      <c r="U749" s="936"/>
    </row>
    <row r="750" spans="1:21" hidden="1">
      <c r="A750" s="936" t="s">
        <v>2479</v>
      </c>
      <c r="B750" s="937">
        <v>43185</v>
      </c>
      <c r="C750" s="936">
        <v>4</v>
      </c>
      <c r="D750" s="936">
        <v>9</v>
      </c>
      <c r="E750" s="936"/>
      <c r="F750" s="936"/>
      <c r="G750" s="1035" t="s">
        <v>2593</v>
      </c>
      <c r="H750" s="939"/>
      <c r="I750" s="939" t="s">
        <v>2313</v>
      </c>
      <c r="J750" s="939"/>
      <c r="K750" s="939"/>
      <c r="L750" s="939"/>
      <c r="M750" s="1035" t="s">
        <v>2533</v>
      </c>
      <c r="N750" s="1035" t="s">
        <v>2527</v>
      </c>
      <c r="O750" s="939" t="s">
        <v>76</v>
      </c>
      <c r="P750" s="937">
        <f t="shared" si="58"/>
        <v>43185</v>
      </c>
      <c r="Q750" s="937">
        <f t="shared" si="59"/>
        <v>43185</v>
      </c>
      <c r="R750" s="940" t="s">
        <v>2484</v>
      </c>
      <c r="S750" s="941"/>
      <c r="T750" s="941"/>
      <c r="U750" s="936"/>
    </row>
    <row r="751" spans="1:21" hidden="1">
      <c r="A751" s="936" t="s">
        <v>2479</v>
      </c>
      <c r="B751" s="937">
        <v>43185</v>
      </c>
      <c r="C751" s="936">
        <v>4</v>
      </c>
      <c r="D751" s="936">
        <v>9</v>
      </c>
      <c r="E751" s="936"/>
      <c r="F751" s="936"/>
      <c r="G751" s="1035" t="s">
        <v>2567</v>
      </c>
      <c r="H751" s="939"/>
      <c r="I751" s="939" t="s">
        <v>2313</v>
      </c>
      <c r="J751" s="939"/>
      <c r="K751" s="939"/>
      <c r="L751" s="939"/>
      <c r="M751" s="1035" t="s">
        <v>2594</v>
      </c>
      <c r="N751" s="1035" t="s">
        <v>2527</v>
      </c>
      <c r="O751" s="939" t="s">
        <v>76</v>
      </c>
      <c r="P751" s="937">
        <f t="shared" si="58"/>
        <v>43185</v>
      </c>
      <c r="Q751" s="937">
        <f t="shared" si="59"/>
        <v>43185</v>
      </c>
      <c r="R751" s="940" t="s">
        <v>2484</v>
      </c>
      <c r="S751" s="941"/>
      <c r="T751" s="941"/>
      <c r="U751" s="936"/>
    </row>
    <row r="752" spans="1:21" hidden="1">
      <c r="A752" s="936" t="s">
        <v>2479</v>
      </c>
      <c r="B752" s="937">
        <v>43185</v>
      </c>
      <c r="C752" s="936">
        <v>4</v>
      </c>
      <c r="D752" s="936">
        <v>9</v>
      </c>
      <c r="E752" s="936"/>
      <c r="F752" s="936"/>
      <c r="G752" s="1035" t="s">
        <v>2595</v>
      </c>
      <c r="H752" s="939"/>
      <c r="I752" s="939" t="s">
        <v>2313</v>
      </c>
      <c r="J752" s="939"/>
      <c r="K752" s="939"/>
      <c r="L752" s="939"/>
      <c r="M752" s="1035" t="s">
        <v>2533</v>
      </c>
      <c r="N752" s="1035" t="s">
        <v>2527</v>
      </c>
      <c r="O752" s="939" t="s">
        <v>76</v>
      </c>
      <c r="P752" s="937">
        <f t="shared" si="58"/>
        <v>43185</v>
      </c>
      <c r="Q752" s="937">
        <f t="shared" si="59"/>
        <v>43185</v>
      </c>
      <c r="R752" s="940" t="s">
        <v>2484</v>
      </c>
      <c r="S752" s="941"/>
      <c r="T752" s="941"/>
      <c r="U752" s="936"/>
    </row>
    <row r="753" spans="1:21" ht="32.25" hidden="1" customHeight="1">
      <c r="A753" s="936" t="s">
        <v>2479</v>
      </c>
      <c r="B753" s="937">
        <v>43185</v>
      </c>
      <c r="C753" s="936">
        <v>4</v>
      </c>
      <c r="D753" s="936">
        <v>9</v>
      </c>
      <c r="E753" s="942" t="s">
        <v>1056</v>
      </c>
      <c r="F753" s="942"/>
      <c r="G753" s="1035" t="s">
        <v>2596</v>
      </c>
      <c r="H753" s="939"/>
      <c r="I753" s="939" t="s">
        <v>550</v>
      </c>
      <c r="J753" s="939"/>
      <c r="K753" s="939"/>
      <c r="L753" s="939"/>
      <c r="M753" s="1035" t="s">
        <v>2589</v>
      </c>
      <c r="N753" s="1035" t="s">
        <v>2527</v>
      </c>
      <c r="O753" s="939" t="s">
        <v>76</v>
      </c>
      <c r="P753" s="937">
        <f t="shared" si="58"/>
        <v>43185</v>
      </c>
      <c r="Q753" s="937">
        <f t="shared" si="59"/>
        <v>43185</v>
      </c>
      <c r="R753" s="940" t="s">
        <v>2484</v>
      </c>
      <c r="S753" s="943" t="s">
        <v>2058</v>
      </c>
      <c r="T753" s="943"/>
      <c r="U753" s="936"/>
    </row>
    <row r="754" spans="1:21" ht="25.5" hidden="1">
      <c r="A754" s="936" t="s">
        <v>2479</v>
      </c>
      <c r="B754" s="937">
        <v>43185</v>
      </c>
      <c r="C754" s="936">
        <v>4</v>
      </c>
      <c r="D754" s="936">
        <v>9</v>
      </c>
      <c r="E754" s="942" t="s">
        <v>1025</v>
      </c>
      <c r="F754" s="942"/>
      <c r="G754" s="1035" t="s">
        <v>2597</v>
      </c>
      <c r="H754" s="939"/>
      <c r="I754" s="939" t="s">
        <v>550</v>
      </c>
      <c r="J754" s="939"/>
      <c r="K754" s="939"/>
      <c r="L754" s="939"/>
      <c r="M754" s="1035" t="s">
        <v>2589</v>
      </c>
      <c r="N754" s="1035" t="s">
        <v>2527</v>
      </c>
      <c r="O754" s="939" t="s">
        <v>76</v>
      </c>
      <c r="P754" s="937">
        <f t="shared" si="58"/>
        <v>43185</v>
      </c>
      <c r="Q754" s="937">
        <f t="shared" si="59"/>
        <v>43185</v>
      </c>
      <c r="R754" s="940" t="s">
        <v>2484</v>
      </c>
      <c r="S754" s="943" t="s">
        <v>2042</v>
      </c>
      <c r="T754" s="943"/>
      <c r="U754" s="936"/>
    </row>
    <row r="755" spans="1:21" hidden="1">
      <c r="A755" s="936" t="s">
        <v>2479</v>
      </c>
      <c r="B755" s="937">
        <v>43185</v>
      </c>
      <c r="C755" s="936">
        <v>4</v>
      </c>
      <c r="D755" s="936">
        <v>9</v>
      </c>
      <c r="E755" s="942" t="s">
        <v>1022</v>
      </c>
      <c r="F755" s="942"/>
      <c r="G755" s="1035" t="s">
        <v>2598</v>
      </c>
      <c r="H755" s="939"/>
      <c r="I755" s="939" t="s">
        <v>550</v>
      </c>
      <c r="J755" s="939"/>
      <c r="K755" s="939"/>
      <c r="L755" s="939"/>
      <c r="M755" s="1035" t="s">
        <v>2533</v>
      </c>
      <c r="N755" s="1035" t="s">
        <v>2527</v>
      </c>
      <c r="O755" s="939" t="s">
        <v>76</v>
      </c>
      <c r="P755" s="937">
        <f t="shared" si="58"/>
        <v>43185</v>
      </c>
      <c r="Q755" s="937">
        <f t="shared" si="59"/>
        <v>43185</v>
      </c>
      <c r="R755" s="940" t="s">
        <v>2484</v>
      </c>
      <c r="S755" s="941"/>
      <c r="T755" s="941"/>
      <c r="U755" s="936"/>
    </row>
    <row r="756" spans="1:21" hidden="1">
      <c r="A756" s="936" t="s">
        <v>2479</v>
      </c>
      <c r="B756" s="937">
        <v>43185</v>
      </c>
      <c r="C756" s="936">
        <v>4</v>
      </c>
      <c r="D756" s="936">
        <v>9</v>
      </c>
      <c r="E756" s="942" t="s">
        <v>1108</v>
      </c>
      <c r="F756" s="942"/>
      <c r="G756" s="1035" t="s">
        <v>2599</v>
      </c>
      <c r="H756" s="939"/>
      <c r="I756" s="939" t="s">
        <v>550</v>
      </c>
      <c r="J756" s="939"/>
      <c r="K756" s="939"/>
      <c r="L756" s="939"/>
      <c r="M756" s="1035" t="s">
        <v>2600</v>
      </c>
      <c r="N756" s="1035" t="s">
        <v>2527</v>
      </c>
      <c r="O756" s="939" t="s">
        <v>76</v>
      </c>
      <c r="P756" s="937">
        <f t="shared" si="58"/>
        <v>43185</v>
      </c>
      <c r="Q756" s="937">
        <f t="shared" si="59"/>
        <v>43185</v>
      </c>
      <c r="R756" s="940" t="s">
        <v>2484</v>
      </c>
      <c r="S756" s="943" t="s">
        <v>2082</v>
      </c>
      <c r="T756" s="943"/>
      <c r="U756" s="936"/>
    </row>
    <row r="757" spans="1:21" hidden="1">
      <c r="A757" s="936" t="s">
        <v>2479</v>
      </c>
      <c r="B757" s="937">
        <v>43185</v>
      </c>
      <c r="C757" s="936">
        <v>4</v>
      </c>
      <c r="D757" s="936">
        <v>9</v>
      </c>
      <c r="E757" s="942" t="s">
        <v>1104</v>
      </c>
      <c r="F757" s="942"/>
      <c r="G757" s="1035" t="s">
        <v>2601</v>
      </c>
      <c r="H757" s="939"/>
      <c r="I757" s="939" t="s">
        <v>550</v>
      </c>
      <c r="J757" s="939"/>
      <c r="K757" s="939"/>
      <c r="L757" s="939"/>
      <c r="M757" s="1035" t="s">
        <v>2600</v>
      </c>
      <c r="N757" s="1035" t="s">
        <v>2527</v>
      </c>
      <c r="O757" s="939" t="s">
        <v>76</v>
      </c>
      <c r="P757" s="937">
        <f t="shared" si="58"/>
        <v>43185</v>
      </c>
      <c r="Q757" s="937">
        <f t="shared" si="59"/>
        <v>43185</v>
      </c>
      <c r="R757" s="940" t="s">
        <v>2484</v>
      </c>
      <c r="S757" s="943" t="s">
        <v>2079</v>
      </c>
      <c r="T757" s="943"/>
      <c r="U757" s="936"/>
    </row>
    <row r="758" spans="1:21" hidden="1">
      <c r="A758" s="936" t="s">
        <v>2479</v>
      </c>
      <c r="B758" s="937">
        <v>43185</v>
      </c>
      <c r="C758" s="936">
        <v>4</v>
      </c>
      <c r="D758" s="936">
        <v>9</v>
      </c>
      <c r="E758" s="936"/>
      <c r="F758" s="936"/>
      <c r="G758" s="1035" t="s">
        <v>2507</v>
      </c>
      <c r="H758" s="939"/>
      <c r="I758" s="939" t="s">
        <v>2313</v>
      </c>
      <c r="J758" s="939"/>
      <c r="K758" s="939"/>
      <c r="L758" s="939"/>
      <c r="M758" s="1035" t="s">
        <v>2538</v>
      </c>
      <c r="N758" s="1035" t="s">
        <v>2527</v>
      </c>
      <c r="O758" s="939" t="s">
        <v>76</v>
      </c>
      <c r="P758" s="937">
        <f t="shared" si="58"/>
        <v>43185</v>
      </c>
      <c r="Q758" s="937">
        <f t="shared" si="59"/>
        <v>43185</v>
      </c>
      <c r="R758" s="940" t="s">
        <v>2484</v>
      </c>
      <c r="S758" s="941"/>
      <c r="T758" s="941"/>
      <c r="U758" s="936"/>
    </row>
    <row r="759" spans="1:21" hidden="1">
      <c r="A759" s="936" t="s">
        <v>2479</v>
      </c>
      <c r="B759" s="937">
        <v>43185</v>
      </c>
      <c r="C759" s="936">
        <v>4</v>
      </c>
      <c r="D759" s="936">
        <v>9</v>
      </c>
      <c r="E759" s="942" t="s">
        <v>1085</v>
      </c>
      <c r="F759" s="942"/>
      <c r="G759" s="1035" t="s">
        <v>2602</v>
      </c>
      <c r="H759" s="939"/>
      <c r="I759" s="939" t="s">
        <v>550</v>
      </c>
      <c r="J759" s="939"/>
      <c r="K759" s="939"/>
      <c r="L759" s="939"/>
      <c r="M759" s="1035" t="s">
        <v>2603</v>
      </c>
      <c r="N759" s="1035" t="s">
        <v>2527</v>
      </c>
      <c r="O759" s="939" t="s">
        <v>76</v>
      </c>
      <c r="P759" s="937">
        <f t="shared" si="58"/>
        <v>43185</v>
      </c>
      <c r="Q759" s="937">
        <f t="shared" si="59"/>
        <v>43185</v>
      </c>
      <c r="R759" s="940" t="s">
        <v>2484</v>
      </c>
      <c r="S759" s="943" t="s">
        <v>2604</v>
      </c>
      <c r="T759" s="943"/>
      <c r="U759" s="936"/>
    </row>
    <row r="760" spans="1:21" hidden="1">
      <c r="A760" s="936" t="s">
        <v>2479</v>
      </c>
      <c r="B760" s="937">
        <v>43185</v>
      </c>
      <c r="C760" s="936">
        <v>4</v>
      </c>
      <c r="D760" s="936">
        <v>9</v>
      </c>
      <c r="E760" s="936"/>
      <c r="F760" s="936"/>
      <c r="G760" s="1035" t="s">
        <v>2605</v>
      </c>
      <c r="H760" s="939"/>
      <c r="I760" s="939" t="s">
        <v>2313</v>
      </c>
      <c r="J760" s="939"/>
      <c r="K760" s="939"/>
      <c r="L760" s="939"/>
      <c r="M760" s="1035" t="s">
        <v>2594</v>
      </c>
      <c r="N760" s="1035" t="s">
        <v>2527</v>
      </c>
      <c r="O760" s="939" t="s">
        <v>76</v>
      </c>
      <c r="P760" s="937">
        <f t="shared" si="58"/>
        <v>43185</v>
      </c>
      <c r="Q760" s="937">
        <f t="shared" si="59"/>
        <v>43185</v>
      </c>
      <c r="R760" s="940" t="s">
        <v>2484</v>
      </c>
      <c r="S760" s="941"/>
      <c r="T760" s="941"/>
      <c r="U760" s="936"/>
    </row>
    <row r="761" spans="1:21" ht="25.5" hidden="1">
      <c r="A761" s="936" t="s">
        <v>2479</v>
      </c>
      <c r="B761" s="937">
        <v>43185</v>
      </c>
      <c r="C761" s="936">
        <v>4</v>
      </c>
      <c r="D761" s="936">
        <v>9</v>
      </c>
      <c r="E761" s="942" t="s">
        <v>1013</v>
      </c>
      <c r="F761" s="942"/>
      <c r="G761" s="1035" t="s">
        <v>2606</v>
      </c>
      <c r="H761" s="939"/>
      <c r="I761" s="939" t="s">
        <v>550</v>
      </c>
      <c r="J761" s="939"/>
      <c r="K761" s="939"/>
      <c r="L761" s="939"/>
      <c r="M761" s="1035" t="s">
        <v>2538</v>
      </c>
      <c r="N761" s="1035" t="s">
        <v>2607</v>
      </c>
      <c r="O761" s="939" t="s">
        <v>76</v>
      </c>
      <c r="P761" s="937">
        <f t="shared" si="58"/>
        <v>43185</v>
      </c>
      <c r="Q761" s="937">
        <f t="shared" si="59"/>
        <v>43185</v>
      </c>
      <c r="R761" s="940" t="s">
        <v>2484</v>
      </c>
      <c r="S761" s="943" t="s">
        <v>2032</v>
      </c>
      <c r="T761" s="943"/>
      <c r="U761" s="936"/>
    </row>
    <row r="762" spans="1:21" ht="25.5" hidden="1">
      <c r="A762" s="936" t="s">
        <v>2479</v>
      </c>
      <c r="B762" s="937">
        <v>43185</v>
      </c>
      <c r="C762" s="936">
        <v>4</v>
      </c>
      <c r="D762" s="936">
        <v>9</v>
      </c>
      <c r="E762" s="942" t="s">
        <v>1006</v>
      </c>
      <c r="F762" s="942"/>
      <c r="G762" s="1035" t="s">
        <v>2608</v>
      </c>
      <c r="H762" s="939"/>
      <c r="I762" s="939" t="s">
        <v>550</v>
      </c>
      <c r="J762" s="939"/>
      <c r="K762" s="939"/>
      <c r="L762" s="939"/>
      <c r="M762" s="1035" t="s">
        <v>2538</v>
      </c>
      <c r="N762" s="1035" t="s">
        <v>2607</v>
      </c>
      <c r="O762" s="939" t="s">
        <v>76</v>
      </c>
      <c r="P762" s="937">
        <f t="shared" si="58"/>
        <v>43185</v>
      </c>
      <c r="Q762" s="937">
        <f t="shared" si="59"/>
        <v>43185</v>
      </c>
      <c r="R762" s="940" t="s">
        <v>2484</v>
      </c>
      <c r="S762" s="943" t="s">
        <v>2031</v>
      </c>
      <c r="T762" s="943"/>
      <c r="U762" s="936"/>
    </row>
    <row r="763" spans="1:21" hidden="1">
      <c r="A763" s="936" t="s">
        <v>2479</v>
      </c>
      <c r="B763" s="937">
        <v>43185</v>
      </c>
      <c r="C763" s="936">
        <v>4</v>
      </c>
      <c r="D763" s="936">
        <v>9</v>
      </c>
      <c r="E763" s="942" t="s">
        <v>1042</v>
      </c>
      <c r="F763" s="942"/>
      <c r="G763" s="1035" t="s">
        <v>2512</v>
      </c>
      <c r="H763" s="939"/>
      <c r="I763" s="939" t="s">
        <v>550</v>
      </c>
      <c r="J763" s="939"/>
      <c r="K763" s="939"/>
      <c r="L763" s="939"/>
      <c r="M763" s="1035" t="s">
        <v>2609</v>
      </c>
      <c r="N763" s="1035" t="s">
        <v>2607</v>
      </c>
      <c r="O763" s="939" t="s">
        <v>76</v>
      </c>
      <c r="P763" s="937">
        <f t="shared" si="58"/>
        <v>43185</v>
      </c>
      <c r="Q763" s="937">
        <f t="shared" si="59"/>
        <v>43185</v>
      </c>
      <c r="R763" s="940" t="s">
        <v>2484</v>
      </c>
      <c r="S763" s="943" t="s">
        <v>2273</v>
      </c>
      <c r="T763" s="943"/>
      <c r="U763" s="936"/>
    </row>
    <row r="764" spans="1:21" hidden="1">
      <c r="A764" s="936" t="s">
        <v>2479</v>
      </c>
      <c r="B764" s="937">
        <v>43185</v>
      </c>
      <c r="C764" s="936">
        <v>4</v>
      </c>
      <c r="D764" s="936">
        <v>9</v>
      </c>
      <c r="E764" s="942" t="s">
        <v>1045</v>
      </c>
      <c r="F764" s="942"/>
      <c r="G764" s="1035" t="s">
        <v>2598</v>
      </c>
      <c r="H764" s="939"/>
      <c r="I764" s="939" t="s">
        <v>550</v>
      </c>
      <c r="J764" s="939"/>
      <c r="K764" s="939"/>
      <c r="L764" s="939"/>
      <c r="M764" s="1035" t="s">
        <v>2609</v>
      </c>
      <c r="N764" s="1035" t="s">
        <v>2607</v>
      </c>
      <c r="O764" s="939" t="s">
        <v>76</v>
      </c>
      <c r="P764" s="937">
        <f t="shared" si="58"/>
        <v>43185</v>
      </c>
      <c r="Q764" s="937">
        <f t="shared" si="59"/>
        <v>43185</v>
      </c>
      <c r="R764" s="940" t="s">
        <v>2484</v>
      </c>
      <c r="S764" s="943" t="s">
        <v>2274</v>
      </c>
      <c r="T764" s="943"/>
      <c r="U764" s="936"/>
    </row>
    <row r="765" spans="1:21" hidden="1">
      <c r="A765" s="936" t="s">
        <v>2479</v>
      </c>
      <c r="B765" s="937">
        <v>43185</v>
      </c>
      <c r="C765" s="936">
        <v>4</v>
      </c>
      <c r="D765" s="936">
        <v>10</v>
      </c>
      <c r="E765" s="942" t="s">
        <v>981</v>
      </c>
      <c r="F765" s="942"/>
      <c r="G765" s="1035" t="s">
        <v>2507</v>
      </c>
      <c r="H765" s="939"/>
      <c r="I765" s="939" t="s">
        <v>550</v>
      </c>
      <c r="J765" s="939"/>
      <c r="K765" s="939"/>
      <c r="L765" s="939"/>
      <c r="M765" s="1035" t="s">
        <v>2610</v>
      </c>
      <c r="N765" s="1035" t="s">
        <v>2607</v>
      </c>
      <c r="O765" s="939" t="s">
        <v>76</v>
      </c>
      <c r="P765" s="937">
        <f t="shared" si="58"/>
        <v>43185</v>
      </c>
      <c r="Q765" s="937">
        <f t="shared" si="59"/>
        <v>43185</v>
      </c>
      <c r="R765" s="940" t="s">
        <v>2484</v>
      </c>
      <c r="S765" s="943"/>
      <c r="T765" s="943"/>
      <c r="U765" s="936"/>
    </row>
    <row r="766" spans="1:21" hidden="1">
      <c r="A766" s="936" t="s">
        <v>2479</v>
      </c>
      <c r="B766" s="937">
        <v>43185</v>
      </c>
      <c r="C766" s="936">
        <v>4</v>
      </c>
      <c r="D766" s="936">
        <v>10</v>
      </c>
      <c r="E766" s="936"/>
      <c r="F766" s="936"/>
      <c r="G766" s="1035" t="s">
        <v>2611</v>
      </c>
      <c r="H766" s="939"/>
      <c r="I766" s="939" t="s">
        <v>2313</v>
      </c>
      <c r="J766" s="939"/>
      <c r="K766" s="939"/>
      <c r="L766" s="939"/>
      <c r="M766" s="1035" t="s">
        <v>2612</v>
      </c>
      <c r="N766" s="1035" t="s">
        <v>2607</v>
      </c>
      <c r="O766" s="939" t="s">
        <v>76</v>
      </c>
      <c r="P766" s="937">
        <f t="shared" si="58"/>
        <v>43185</v>
      </c>
      <c r="Q766" s="937">
        <f t="shared" si="59"/>
        <v>43185</v>
      </c>
      <c r="R766" s="940" t="s">
        <v>2484</v>
      </c>
      <c r="S766" s="941"/>
      <c r="T766" s="941"/>
      <c r="U766" s="936"/>
    </row>
    <row r="767" spans="1:21" hidden="1">
      <c r="A767" s="936" t="s">
        <v>2479</v>
      </c>
      <c r="B767" s="937">
        <v>43185</v>
      </c>
      <c r="C767" s="936">
        <v>4</v>
      </c>
      <c r="D767" s="936">
        <v>10</v>
      </c>
      <c r="E767" s="936"/>
      <c r="F767" s="936"/>
      <c r="G767" s="1035" t="s">
        <v>2613</v>
      </c>
      <c r="H767" s="939"/>
      <c r="I767" s="939" t="s">
        <v>2313</v>
      </c>
      <c r="J767" s="939"/>
      <c r="K767" s="939"/>
      <c r="L767" s="939"/>
      <c r="M767" s="1035" t="s">
        <v>2612</v>
      </c>
      <c r="N767" s="1035" t="s">
        <v>2607</v>
      </c>
      <c r="O767" s="939" t="s">
        <v>76</v>
      </c>
      <c r="P767" s="937">
        <f t="shared" si="58"/>
        <v>43185</v>
      </c>
      <c r="Q767" s="937">
        <f t="shared" si="59"/>
        <v>43185</v>
      </c>
      <c r="R767" s="940" t="s">
        <v>2484</v>
      </c>
      <c r="S767" s="941"/>
      <c r="T767" s="941"/>
      <c r="U767" s="936"/>
    </row>
    <row r="768" spans="1:21" ht="25.5" hidden="1">
      <c r="A768" s="936" t="s">
        <v>2479</v>
      </c>
      <c r="B768" s="937">
        <v>43185</v>
      </c>
      <c r="C768" s="936">
        <v>4</v>
      </c>
      <c r="D768" s="936">
        <v>10</v>
      </c>
      <c r="E768" s="936"/>
      <c r="F768" s="936"/>
      <c r="G768" s="1035" t="s">
        <v>2614</v>
      </c>
      <c r="H768" s="939"/>
      <c r="I768" s="939" t="s">
        <v>2313</v>
      </c>
      <c r="J768" s="939"/>
      <c r="K768" s="939"/>
      <c r="L768" s="939"/>
      <c r="M768" s="1035" t="s">
        <v>67</v>
      </c>
      <c r="N768" s="1035" t="s">
        <v>2607</v>
      </c>
      <c r="O768" s="939" t="s">
        <v>76</v>
      </c>
      <c r="P768" s="937">
        <f t="shared" ref="P768:P795" si="60">B768</f>
        <v>43185</v>
      </c>
      <c r="Q768" s="937">
        <f t="shared" si="59"/>
        <v>43185</v>
      </c>
      <c r="R768" s="940" t="s">
        <v>2484</v>
      </c>
      <c r="S768" s="941"/>
      <c r="T768" s="941"/>
      <c r="U768" s="936"/>
    </row>
    <row r="769" spans="1:21" hidden="1">
      <c r="A769" s="936" t="s">
        <v>2479</v>
      </c>
      <c r="B769" s="937">
        <v>43185</v>
      </c>
      <c r="C769" s="936">
        <v>4</v>
      </c>
      <c r="D769" s="936">
        <v>10</v>
      </c>
      <c r="E769" s="936"/>
      <c r="F769" s="936"/>
      <c r="G769" s="1035" t="s">
        <v>2615</v>
      </c>
      <c r="H769" s="939"/>
      <c r="I769" s="939" t="s">
        <v>2313</v>
      </c>
      <c r="J769" s="939"/>
      <c r="K769" s="939"/>
      <c r="L769" s="939"/>
      <c r="M769" s="1035" t="s">
        <v>67</v>
      </c>
      <c r="N769" s="1035" t="s">
        <v>2616</v>
      </c>
      <c r="O769" s="939" t="s">
        <v>76</v>
      </c>
      <c r="P769" s="937">
        <f t="shared" si="60"/>
        <v>43185</v>
      </c>
      <c r="Q769" s="937">
        <f t="shared" si="59"/>
        <v>43185</v>
      </c>
      <c r="R769" s="940" t="s">
        <v>2484</v>
      </c>
      <c r="S769" s="941"/>
      <c r="T769" s="941"/>
      <c r="U769" s="936"/>
    </row>
    <row r="770" spans="1:21" hidden="1">
      <c r="A770" s="936" t="s">
        <v>2479</v>
      </c>
      <c r="B770" s="937">
        <v>43185</v>
      </c>
      <c r="C770" s="936">
        <v>4</v>
      </c>
      <c r="D770" s="936">
        <v>10</v>
      </c>
      <c r="E770" s="936"/>
      <c r="F770" s="936"/>
      <c r="G770" s="1035" t="s">
        <v>1521</v>
      </c>
      <c r="H770" s="939"/>
      <c r="I770" s="939" t="s">
        <v>2313</v>
      </c>
      <c r="J770" s="939"/>
      <c r="K770" s="939"/>
      <c r="L770" s="939"/>
      <c r="M770" s="1035" t="s">
        <v>67</v>
      </c>
      <c r="N770" s="1035" t="s">
        <v>2617</v>
      </c>
      <c r="O770" s="939" t="s">
        <v>76</v>
      </c>
      <c r="P770" s="937">
        <f t="shared" si="60"/>
        <v>43185</v>
      </c>
      <c r="Q770" s="937">
        <f t="shared" si="59"/>
        <v>43185</v>
      </c>
      <c r="R770" s="940" t="s">
        <v>2484</v>
      </c>
      <c r="S770" s="941"/>
      <c r="T770" s="941"/>
      <c r="U770" s="936"/>
    </row>
    <row r="771" spans="1:21" ht="25.5" hidden="1">
      <c r="A771" s="936" t="s">
        <v>2479</v>
      </c>
      <c r="B771" s="937">
        <v>43185</v>
      </c>
      <c r="C771" s="936">
        <v>4</v>
      </c>
      <c r="D771" s="936">
        <v>11</v>
      </c>
      <c r="E771" s="942" t="s">
        <v>991</v>
      </c>
      <c r="F771" s="942"/>
      <c r="G771" s="1035" t="s">
        <v>2618</v>
      </c>
      <c r="H771" s="939"/>
      <c r="I771" s="939" t="s">
        <v>550</v>
      </c>
      <c r="J771" s="939"/>
      <c r="K771" s="939"/>
      <c r="L771" s="939"/>
      <c r="M771" s="1035" t="s">
        <v>2524</v>
      </c>
      <c r="N771" s="1035" t="s">
        <v>1976</v>
      </c>
      <c r="O771" s="939" t="s">
        <v>2619</v>
      </c>
      <c r="P771" s="937">
        <f t="shared" si="60"/>
        <v>43185</v>
      </c>
      <c r="Q771" s="937">
        <f t="shared" si="59"/>
        <v>43185</v>
      </c>
      <c r="R771" s="940" t="s">
        <v>2484</v>
      </c>
      <c r="S771" s="943" t="s">
        <v>2020</v>
      </c>
      <c r="T771" s="943"/>
      <c r="U771" s="936"/>
    </row>
    <row r="772" spans="1:21" hidden="1">
      <c r="A772" s="936" t="s">
        <v>2479</v>
      </c>
      <c r="B772" s="937">
        <v>43185</v>
      </c>
      <c r="C772" s="936">
        <v>4</v>
      </c>
      <c r="D772" s="936">
        <v>11</v>
      </c>
      <c r="E772" s="942" t="s">
        <v>987</v>
      </c>
      <c r="F772" s="942"/>
      <c r="G772" s="1035" t="s">
        <v>2620</v>
      </c>
      <c r="H772" s="939"/>
      <c r="I772" s="939" t="s">
        <v>550</v>
      </c>
      <c r="J772" s="939"/>
      <c r="K772" s="939"/>
      <c r="L772" s="939"/>
      <c r="M772" s="1035" t="s">
        <v>2573</v>
      </c>
      <c r="N772" s="1035" t="s">
        <v>2518</v>
      </c>
      <c r="O772" s="939" t="s">
        <v>2619</v>
      </c>
      <c r="P772" s="937">
        <f t="shared" si="60"/>
        <v>43185</v>
      </c>
      <c r="Q772" s="937">
        <f t="shared" si="59"/>
        <v>43185</v>
      </c>
      <c r="R772" s="940" t="s">
        <v>2484</v>
      </c>
      <c r="S772" s="943" t="s">
        <v>2018</v>
      </c>
      <c r="T772" s="943"/>
      <c r="U772" s="936"/>
    </row>
    <row r="773" spans="1:21" hidden="1">
      <c r="A773" s="936" t="s">
        <v>2479</v>
      </c>
      <c r="B773" s="937">
        <v>43185</v>
      </c>
      <c r="C773" s="936">
        <v>4</v>
      </c>
      <c r="D773" s="936">
        <v>11</v>
      </c>
      <c r="E773" s="942" t="s">
        <v>973</v>
      </c>
      <c r="F773" s="942"/>
      <c r="G773" s="1035" t="s">
        <v>2620</v>
      </c>
      <c r="H773" s="939"/>
      <c r="I773" s="939" t="s">
        <v>550</v>
      </c>
      <c r="J773" s="939"/>
      <c r="K773" s="939"/>
      <c r="L773" s="939"/>
      <c r="M773" s="1035" t="s">
        <v>2621</v>
      </c>
      <c r="N773" s="1035" t="s">
        <v>2509</v>
      </c>
      <c r="O773" s="939" t="s">
        <v>2619</v>
      </c>
      <c r="P773" s="937">
        <f t="shared" si="60"/>
        <v>43185</v>
      </c>
      <c r="Q773" s="937">
        <f t="shared" si="59"/>
        <v>43185</v>
      </c>
      <c r="R773" s="940" t="s">
        <v>2484</v>
      </c>
      <c r="S773" s="943" t="s">
        <v>2009</v>
      </c>
      <c r="T773" s="943"/>
      <c r="U773" s="936"/>
    </row>
    <row r="774" spans="1:21" hidden="1">
      <c r="A774" s="936" t="s">
        <v>2479</v>
      </c>
      <c r="B774" s="937">
        <v>43185</v>
      </c>
      <c r="C774" s="936">
        <v>4</v>
      </c>
      <c r="D774" s="936">
        <v>11</v>
      </c>
      <c r="E774" s="936"/>
      <c r="F774" s="936"/>
      <c r="G774" s="1035" t="s">
        <v>2620</v>
      </c>
      <c r="H774" s="939"/>
      <c r="I774" s="939" t="s">
        <v>2313</v>
      </c>
      <c r="J774" s="939"/>
      <c r="K774" s="939"/>
      <c r="L774" s="939"/>
      <c r="M774" s="1035" t="s">
        <v>2573</v>
      </c>
      <c r="N774" s="1035" t="s">
        <v>2617</v>
      </c>
      <c r="O774" s="939" t="s">
        <v>2619</v>
      </c>
      <c r="P774" s="937">
        <f t="shared" si="60"/>
        <v>43185</v>
      </c>
      <c r="Q774" s="937">
        <f t="shared" si="59"/>
        <v>43185</v>
      </c>
      <c r="R774" s="940" t="s">
        <v>2484</v>
      </c>
      <c r="S774" s="941"/>
      <c r="T774" s="941"/>
      <c r="U774" s="936"/>
    </row>
    <row r="775" spans="1:21" hidden="1">
      <c r="A775" s="936" t="s">
        <v>2479</v>
      </c>
      <c r="B775" s="937">
        <v>43185</v>
      </c>
      <c r="C775" s="936">
        <v>4</v>
      </c>
      <c r="D775" s="936">
        <v>12</v>
      </c>
      <c r="E775" s="942" t="s">
        <v>1098</v>
      </c>
      <c r="F775" s="942"/>
      <c r="G775" s="1035" t="s">
        <v>2490</v>
      </c>
      <c r="H775" s="939"/>
      <c r="I775" s="939" t="s">
        <v>550</v>
      </c>
      <c r="J775" s="939"/>
      <c r="K775" s="939"/>
      <c r="L775" s="939"/>
      <c r="M775" s="1035" t="s">
        <v>2622</v>
      </c>
      <c r="N775" s="1035" t="s">
        <v>2483</v>
      </c>
      <c r="O775" s="939" t="s">
        <v>866</v>
      </c>
      <c r="P775" s="937">
        <f t="shared" si="60"/>
        <v>43185</v>
      </c>
      <c r="Q775" s="937">
        <f t="shared" si="59"/>
        <v>43185</v>
      </c>
      <c r="R775" s="940" t="s">
        <v>2484</v>
      </c>
      <c r="S775" s="943" t="s">
        <v>2077</v>
      </c>
      <c r="T775" s="943"/>
      <c r="U775" s="936"/>
    </row>
    <row r="776" spans="1:21" hidden="1">
      <c r="A776" s="936" t="s">
        <v>2479</v>
      </c>
      <c r="B776" s="937">
        <v>43185</v>
      </c>
      <c r="C776" s="936">
        <v>4</v>
      </c>
      <c r="D776" s="936">
        <v>12</v>
      </c>
      <c r="E776" s="942" t="s">
        <v>1052</v>
      </c>
      <c r="F776" s="942"/>
      <c r="G776" s="1035" t="s">
        <v>2490</v>
      </c>
      <c r="H776" s="939"/>
      <c r="I776" s="939" t="s">
        <v>550</v>
      </c>
      <c r="J776" s="939"/>
      <c r="K776" s="939"/>
      <c r="L776" s="939"/>
      <c r="M776" s="1035" t="s">
        <v>2531</v>
      </c>
      <c r="N776" s="1035" t="s">
        <v>2483</v>
      </c>
      <c r="O776" s="939" t="s">
        <v>63</v>
      </c>
      <c r="P776" s="937">
        <f t="shared" si="60"/>
        <v>43185</v>
      </c>
      <c r="Q776" s="937">
        <f t="shared" si="59"/>
        <v>43185</v>
      </c>
      <c r="R776" s="940" t="s">
        <v>2484</v>
      </c>
      <c r="S776" s="943" t="s">
        <v>2054</v>
      </c>
      <c r="T776" s="943"/>
      <c r="U776" s="936"/>
    </row>
    <row r="777" spans="1:21" ht="30.75" hidden="1" customHeight="1">
      <c r="A777" s="936" t="s">
        <v>2479</v>
      </c>
      <c r="B777" s="937">
        <v>43185</v>
      </c>
      <c r="C777" s="936">
        <v>4</v>
      </c>
      <c r="D777" s="936">
        <v>12</v>
      </c>
      <c r="E777" s="942" t="s">
        <v>1036</v>
      </c>
      <c r="F777" s="942"/>
      <c r="G777" s="1035" t="s">
        <v>2623</v>
      </c>
      <c r="H777" s="939"/>
      <c r="I777" s="939" t="s">
        <v>550</v>
      </c>
      <c r="J777" s="939"/>
      <c r="K777" s="939"/>
      <c r="L777" s="939"/>
      <c r="M777" s="1035" t="s">
        <v>2531</v>
      </c>
      <c r="N777" s="1035" t="s">
        <v>2483</v>
      </c>
      <c r="O777" s="939" t="s">
        <v>63</v>
      </c>
      <c r="P777" s="937">
        <f t="shared" si="60"/>
        <v>43185</v>
      </c>
      <c r="Q777" s="937">
        <f t="shared" si="59"/>
        <v>43185</v>
      </c>
      <c r="R777" s="940" t="s">
        <v>2484</v>
      </c>
      <c r="S777" s="943" t="s">
        <v>2045</v>
      </c>
      <c r="T777" s="943"/>
      <c r="U777" s="936"/>
    </row>
    <row r="778" spans="1:21" hidden="1">
      <c r="A778" s="936" t="s">
        <v>2479</v>
      </c>
      <c r="B778" s="937">
        <v>43185</v>
      </c>
      <c r="C778" s="936">
        <v>4</v>
      </c>
      <c r="D778" s="936">
        <v>12</v>
      </c>
      <c r="E778" s="942" t="s">
        <v>1048</v>
      </c>
      <c r="F778" s="942"/>
      <c r="G778" s="1035" t="s">
        <v>2624</v>
      </c>
      <c r="H778" s="939"/>
      <c r="I778" s="939" t="s">
        <v>550</v>
      </c>
      <c r="J778" s="939"/>
      <c r="K778" s="939"/>
      <c r="L778" s="939"/>
      <c r="M778" s="1035" t="s">
        <v>2533</v>
      </c>
      <c r="N778" s="1035" t="s">
        <v>2483</v>
      </c>
      <c r="O778" s="939" t="s">
        <v>63</v>
      </c>
      <c r="P778" s="937">
        <f t="shared" si="60"/>
        <v>43185</v>
      </c>
      <c r="Q778" s="937">
        <f t="shared" si="59"/>
        <v>43185</v>
      </c>
      <c r="R778" s="940" t="s">
        <v>2484</v>
      </c>
      <c r="S778" s="943" t="s">
        <v>2051</v>
      </c>
      <c r="T778" s="943"/>
      <c r="U778" s="936"/>
    </row>
    <row r="779" spans="1:21" hidden="1">
      <c r="A779" s="936" t="s">
        <v>2479</v>
      </c>
      <c r="B779" s="937">
        <v>43185</v>
      </c>
      <c r="C779" s="936">
        <v>4</v>
      </c>
      <c r="D779" s="936">
        <v>13</v>
      </c>
      <c r="E779" s="936"/>
      <c r="F779" s="936"/>
      <c r="G779" s="1035" t="s">
        <v>2625</v>
      </c>
      <c r="H779" s="939"/>
      <c r="I779" s="939" t="s">
        <v>2313</v>
      </c>
      <c r="J779" s="939"/>
      <c r="K779" s="939"/>
      <c r="L779" s="939"/>
      <c r="M779" s="1035" t="s">
        <v>67</v>
      </c>
      <c r="N779" s="1035" t="s">
        <v>2527</v>
      </c>
      <c r="O779" s="939" t="s">
        <v>641</v>
      </c>
      <c r="P779" s="937">
        <f t="shared" si="60"/>
        <v>43185</v>
      </c>
      <c r="Q779" s="937">
        <f t="shared" si="59"/>
        <v>43185</v>
      </c>
      <c r="R779" s="940" t="s">
        <v>2484</v>
      </c>
      <c r="S779" s="941"/>
      <c r="T779" s="941"/>
      <c r="U779" s="936"/>
    </row>
    <row r="780" spans="1:21" hidden="1">
      <c r="A780" s="936" t="s">
        <v>2479</v>
      </c>
      <c r="B780" s="937">
        <v>43185</v>
      </c>
      <c r="C780" s="936">
        <v>4</v>
      </c>
      <c r="D780" s="936">
        <v>14</v>
      </c>
      <c r="E780" s="936"/>
      <c r="F780" s="936"/>
      <c r="G780" s="1035" t="s">
        <v>2547</v>
      </c>
      <c r="H780" s="939"/>
      <c r="I780" s="939" t="s">
        <v>2313</v>
      </c>
      <c r="J780" s="939"/>
      <c r="K780" s="939"/>
      <c r="L780" s="939"/>
      <c r="M780" s="1035" t="s">
        <v>2571</v>
      </c>
      <c r="N780" s="1035" t="s">
        <v>2541</v>
      </c>
      <c r="O780" s="939" t="s">
        <v>2626</v>
      </c>
      <c r="P780" s="937">
        <f t="shared" si="60"/>
        <v>43185</v>
      </c>
      <c r="Q780" s="937">
        <f t="shared" si="59"/>
        <v>43185</v>
      </c>
      <c r="R780" s="940" t="s">
        <v>2484</v>
      </c>
      <c r="S780" s="941"/>
      <c r="T780" s="941"/>
      <c r="U780" s="936"/>
    </row>
    <row r="781" spans="1:21" hidden="1">
      <c r="A781" s="936" t="s">
        <v>2479</v>
      </c>
      <c r="B781" s="937">
        <v>43185</v>
      </c>
      <c r="C781" s="936">
        <v>4</v>
      </c>
      <c r="D781" s="936">
        <v>14</v>
      </c>
      <c r="E781" s="936"/>
      <c r="F781" s="936"/>
      <c r="G781" s="1035" t="s">
        <v>2627</v>
      </c>
      <c r="H781" s="939"/>
      <c r="I781" s="939" t="s">
        <v>2313</v>
      </c>
      <c r="J781" s="939"/>
      <c r="K781" s="939"/>
      <c r="L781" s="939"/>
      <c r="M781" s="1035" t="s">
        <v>2571</v>
      </c>
      <c r="N781" s="1035" t="s">
        <v>2541</v>
      </c>
      <c r="O781" s="939" t="s">
        <v>2626</v>
      </c>
      <c r="P781" s="937">
        <f t="shared" si="60"/>
        <v>43185</v>
      </c>
      <c r="Q781" s="937">
        <f t="shared" si="59"/>
        <v>43185</v>
      </c>
      <c r="R781" s="940" t="s">
        <v>2484</v>
      </c>
      <c r="S781" s="941"/>
      <c r="T781" s="941"/>
      <c r="U781" s="936"/>
    </row>
    <row r="782" spans="1:21" hidden="1">
      <c r="A782" s="936" t="s">
        <v>2479</v>
      </c>
      <c r="B782" s="937">
        <v>43185</v>
      </c>
      <c r="C782" s="936">
        <v>4</v>
      </c>
      <c r="D782" s="936">
        <v>14</v>
      </c>
      <c r="E782" s="936"/>
      <c r="F782" s="936"/>
      <c r="G782" s="1035" t="s">
        <v>2628</v>
      </c>
      <c r="H782" s="939"/>
      <c r="I782" s="939" t="s">
        <v>2313</v>
      </c>
      <c r="J782" s="939"/>
      <c r="K782" s="939"/>
      <c r="L782" s="939"/>
      <c r="M782" s="1035" t="s">
        <v>2571</v>
      </c>
      <c r="N782" s="1035" t="s">
        <v>2541</v>
      </c>
      <c r="O782" s="939" t="s">
        <v>2626</v>
      </c>
      <c r="P782" s="937">
        <f t="shared" si="60"/>
        <v>43185</v>
      </c>
      <c r="Q782" s="937">
        <f t="shared" si="59"/>
        <v>43185</v>
      </c>
      <c r="R782" s="940" t="s">
        <v>2484</v>
      </c>
      <c r="S782" s="941"/>
      <c r="T782" s="941"/>
      <c r="U782" s="936"/>
    </row>
    <row r="783" spans="1:21" hidden="1">
      <c r="A783" s="936" t="s">
        <v>2479</v>
      </c>
      <c r="B783" s="937">
        <v>43185</v>
      </c>
      <c r="C783" s="936">
        <v>4</v>
      </c>
      <c r="D783" s="936">
        <v>14</v>
      </c>
      <c r="E783" s="936"/>
      <c r="F783" s="936"/>
      <c r="G783" s="1035" t="s">
        <v>2548</v>
      </c>
      <c r="H783" s="939"/>
      <c r="I783" s="939" t="s">
        <v>2313</v>
      </c>
      <c r="J783" s="939"/>
      <c r="K783" s="939"/>
      <c r="L783" s="939"/>
      <c r="M783" s="1035" t="s">
        <v>2531</v>
      </c>
      <c r="N783" s="1035" t="s">
        <v>2527</v>
      </c>
      <c r="O783" s="939" t="s">
        <v>2626</v>
      </c>
      <c r="P783" s="937">
        <f t="shared" si="60"/>
        <v>43185</v>
      </c>
      <c r="Q783" s="937">
        <f t="shared" si="59"/>
        <v>43185</v>
      </c>
      <c r="R783" s="940" t="s">
        <v>2484</v>
      </c>
      <c r="S783" s="941"/>
      <c r="T783" s="941"/>
      <c r="U783" s="936"/>
    </row>
    <row r="784" spans="1:21" hidden="1">
      <c r="A784" s="936" t="s">
        <v>2479</v>
      </c>
      <c r="B784" s="937">
        <v>43185</v>
      </c>
      <c r="C784" s="936">
        <v>4</v>
      </c>
      <c r="D784" s="936">
        <v>14</v>
      </c>
      <c r="E784" s="936"/>
      <c r="F784" s="936"/>
      <c r="G784" s="1035" t="s">
        <v>2547</v>
      </c>
      <c r="H784" s="939"/>
      <c r="I784" s="939" t="s">
        <v>2313</v>
      </c>
      <c r="J784" s="939"/>
      <c r="K784" s="939"/>
      <c r="L784" s="939"/>
      <c r="M784" s="1035" t="s">
        <v>2531</v>
      </c>
      <c r="N784" s="1035" t="s">
        <v>2527</v>
      </c>
      <c r="O784" s="939" t="s">
        <v>2626</v>
      </c>
      <c r="P784" s="937">
        <f t="shared" si="60"/>
        <v>43185</v>
      </c>
      <c r="Q784" s="937">
        <f t="shared" si="59"/>
        <v>43185</v>
      </c>
      <c r="R784" s="940" t="s">
        <v>2484</v>
      </c>
      <c r="S784" s="941"/>
      <c r="T784" s="941"/>
      <c r="U784" s="936"/>
    </row>
    <row r="785" spans="1:21" ht="33" hidden="1" customHeight="1">
      <c r="A785" s="936" t="s">
        <v>2479</v>
      </c>
      <c r="B785" s="937">
        <v>43185</v>
      </c>
      <c r="C785" s="936">
        <v>4</v>
      </c>
      <c r="D785" s="936">
        <v>14</v>
      </c>
      <c r="E785" s="936"/>
      <c r="F785" s="936"/>
      <c r="G785" s="1035" t="s">
        <v>2629</v>
      </c>
      <c r="H785" s="939"/>
      <c r="I785" s="939" t="s">
        <v>2313</v>
      </c>
      <c r="J785" s="939"/>
      <c r="K785" s="939"/>
      <c r="L785" s="939"/>
      <c r="M785" s="1035" t="s">
        <v>2531</v>
      </c>
      <c r="N785" s="1035" t="s">
        <v>2527</v>
      </c>
      <c r="O785" s="939" t="s">
        <v>2626</v>
      </c>
      <c r="P785" s="937">
        <f t="shared" si="60"/>
        <v>43185</v>
      </c>
      <c r="Q785" s="937">
        <f t="shared" si="59"/>
        <v>43185</v>
      </c>
      <c r="R785" s="940" t="s">
        <v>2484</v>
      </c>
      <c r="S785" s="941"/>
      <c r="T785" s="941"/>
      <c r="U785" s="936"/>
    </row>
    <row r="786" spans="1:21" ht="17.25" hidden="1" customHeight="1">
      <c r="A786" s="936" t="s">
        <v>2479</v>
      </c>
      <c r="B786" s="937">
        <v>43185</v>
      </c>
      <c r="C786" s="936">
        <v>4</v>
      </c>
      <c r="D786" s="936">
        <v>14</v>
      </c>
      <c r="E786" s="936"/>
      <c r="F786" s="936"/>
      <c r="G786" s="1035" t="s">
        <v>2547</v>
      </c>
      <c r="H786" s="939"/>
      <c r="I786" s="939" t="s">
        <v>2313</v>
      </c>
      <c r="J786" s="939"/>
      <c r="K786" s="939"/>
      <c r="L786" s="939"/>
      <c r="M786" s="1035" t="s">
        <v>2538</v>
      </c>
      <c r="N786" s="1035" t="s">
        <v>2607</v>
      </c>
      <c r="O786" s="939" t="s">
        <v>2626</v>
      </c>
      <c r="P786" s="937">
        <f t="shared" si="60"/>
        <v>43185</v>
      </c>
      <c r="Q786" s="937">
        <f t="shared" si="59"/>
        <v>43185</v>
      </c>
      <c r="R786" s="940" t="s">
        <v>2484</v>
      </c>
      <c r="S786" s="941"/>
      <c r="T786" s="941"/>
      <c r="U786" s="936"/>
    </row>
    <row r="787" spans="1:21" hidden="1">
      <c r="A787" s="936" t="s">
        <v>2479</v>
      </c>
      <c r="B787" s="937">
        <v>43185</v>
      </c>
      <c r="C787" s="936">
        <v>4</v>
      </c>
      <c r="D787" s="936">
        <v>14</v>
      </c>
      <c r="E787" s="936"/>
      <c r="F787" s="936"/>
      <c r="G787" s="1035" t="s">
        <v>2548</v>
      </c>
      <c r="H787" s="939"/>
      <c r="I787" s="939" t="s">
        <v>2313</v>
      </c>
      <c r="J787" s="939"/>
      <c r="K787" s="939"/>
      <c r="L787" s="939"/>
      <c r="M787" s="1035" t="s">
        <v>2538</v>
      </c>
      <c r="N787" s="1035" t="s">
        <v>2607</v>
      </c>
      <c r="O787" s="939" t="s">
        <v>2626</v>
      </c>
      <c r="P787" s="937">
        <f t="shared" si="60"/>
        <v>43185</v>
      </c>
      <c r="Q787" s="937">
        <f t="shared" si="59"/>
        <v>43185</v>
      </c>
      <c r="R787" s="940" t="s">
        <v>2484</v>
      </c>
      <c r="S787" s="941"/>
      <c r="T787" s="941"/>
      <c r="U787" s="936"/>
    </row>
    <row r="788" spans="1:21" hidden="1">
      <c r="A788" s="936" t="s">
        <v>2479</v>
      </c>
      <c r="B788" s="937">
        <v>43185</v>
      </c>
      <c r="C788" s="936">
        <v>4</v>
      </c>
      <c r="D788" s="936">
        <v>14</v>
      </c>
      <c r="E788" s="936"/>
      <c r="F788" s="936"/>
      <c r="G788" s="1035" t="s">
        <v>2628</v>
      </c>
      <c r="H788" s="939"/>
      <c r="I788" s="939" t="s">
        <v>2313</v>
      </c>
      <c r="J788" s="939"/>
      <c r="K788" s="939"/>
      <c r="L788" s="939"/>
      <c r="M788" s="1035" t="s">
        <v>2538</v>
      </c>
      <c r="N788" s="1035" t="s">
        <v>2607</v>
      </c>
      <c r="O788" s="939" t="s">
        <v>2626</v>
      </c>
      <c r="P788" s="937">
        <f t="shared" si="60"/>
        <v>43185</v>
      </c>
      <c r="Q788" s="937">
        <f t="shared" si="59"/>
        <v>43185</v>
      </c>
      <c r="R788" s="940" t="s">
        <v>2484</v>
      </c>
      <c r="S788" s="941"/>
      <c r="T788" s="941"/>
      <c r="U788" s="936"/>
    </row>
    <row r="789" spans="1:21" hidden="1">
      <c r="A789" s="936" t="s">
        <v>2479</v>
      </c>
      <c r="B789" s="937">
        <v>43185</v>
      </c>
      <c r="C789" s="936">
        <v>4</v>
      </c>
      <c r="D789" s="936">
        <v>14</v>
      </c>
      <c r="E789" s="936"/>
      <c r="F789" s="936"/>
      <c r="G789" s="1035" t="s">
        <v>2547</v>
      </c>
      <c r="H789" s="939"/>
      <c r="I789" s="939" t="s">
        <v>2313</v>
      </c>
      <c r="J789" s="939"/>
      <c r="K789" s="939"/>
      <c r="L789" s="939"/>
      <c r="M789" s="1035" t="s">
        <v>2630</v>
      </c>
      <c r="N789" s="1035" t="s">
        <v>2607</v>
      </c>
      <c r="O789" s="939" t="s">
        <v>2626</v>
      </c>
      <c r="P789" s="937">
        <f t="shared" si="60"/>
        <v>43185</v>
      </c>
      <c r="Q789" s="937">
        <f t="shared" si="59"/>
        <v>43185</v>
      </c>
      <c r="R789" s="940" t="s">
        <v>2484</v>
      </c>
      <c r="S789" s="941"/>
      <c r="T789" s="941"/>
      <c r="U789" s="936"/>
    </row>
    <row r="790" spans="1:21" hidden="1">
      <c r="A790" s="936" t="s">
        <v>2479</v>
      </c>
      <c r="B790" s="937">
        <v>43185</v>
      </c>
      <c r="C790" s="936">
        <v>4</v>
      </c>
      <c r="D790" s="936">
        <v>14</v>
      </c>
      <c r="E790" s="936"/>
      <c r="F790" s="936"/>
      <c r="G790" s="1035" t="s">
        <v>2548</v>
      </c>
      <c r="H790" s="939"/>
      <c r="I790" s="939" t="s">
        <v>2313</v>
      </c>
      <c r="J790" s="939"/>
      <c r="K790" s="939"/>
      <c r="L790" s="939"/>
      <c r="M790" s="1035" t="s">
        <v>2630</v>
      </c>
      <c r="N790" s="1035" t="s">
        <v>2607</v>
      </c>
      <c r="O790" s="939" t="s">
        <v>2626</v>
      </c>
      <c r="P790" s="937">
        <f t="shared" si="60"/>
        <v>43185</v>
      </c>
      <c r="Q790" s="937">
        <f t="shared" si="59"/>
        <v>43185</v>
      </c>
      <c r="R790" s="940" t="s">
        <v>2484</v>
      </c>
      <c r="S790" s="941"/>
      <c r="T790" s="941"/>
      <c r="U790" s="936"/>
    </row>
    <row r="791" spans="1:21" hidden="1">
      <c r="A791" s="936" t="s">
        <v>2479</v>
      </c>
      <c r="B791" s="937">
        <v>43185</v>
      </c>
      <c r="C791" s="936">
        <v>4</v>
      </c>
      <c r="D791" s="936">
        <v>14</v>
      </c>
      <c r="E791" s="936"/>
      <c r="F791" s="936"/>
      <c r="G791" s="1035" t="s">
        <v>2628</v>
      </c>
      <c r="H791" s="939"/>
      <c r="I791" s="939" t="s">
        <v>2313</v>
      </c>
      <c r="J791" s="939"/>
      <c r="K791" s="939"/>
      <c r="L791" s="939"/>
      <c r="M791" s="1035" t="s">
        <v>2630</v>
      </c>
      <c r="N791" s="1035" t="s">
        <v>2607</v>
      </c>
      <c r="O791" s="939" t="s">
        <v>2626</v>
      </c>
      <c r="P791" s="937">
        <f t="shared" si="60"/>
        <v>43185</v>
      </c>
      <c r="Q791" s="937">
        <f t="shared" si="59"/>
        <v>43185</v>
      </c>
      <c r="R791" s="940" t="s">
        <v>2484</v>
      </c>
      <c r="S791" s="941"/>
      <c r="T791" s="941"/>
      <c r="U791" s="936"/>
    </row>
    <row r="792" spans="1:21" ht="25.5" hidden="1">
      <c r="A792" s="936" t="s">
        <v>2479</v>
      </c>
      <c r="B792" s="937">
        <v>43451</v>
      </c>
      <c r="C792" s="936">
        <v>1</v>
      </c>
      <c r="D792" s="936">
        <v>4</v>
      </c>
      <c r="E792" s="945" t="s">
        <v>947</v>
      </c>
      <c r="F792" s="945"/>
      <c r="G792" s="1035" t="s">
        <v>2631</v>
      </c>
      <c r="H792" s="939"/>
      <c r="I792" s="939" t="s">
        <v>550</v>
      </c>
      <c r="J792" s="939"/>
      <c r="K792" s="939"/>
      <c r="L792" s="939"/>
      <c r="M792" s="1035" t="s">
        <v>2632</v>
      </c>
      <c r="N792" s="1035" t="s">
        <v>2527</v>
      </c>
      <c r="O792" s="939" t="s">
        <v>76</v>
      </c>
      <c r="P792" s="937">
        <f t="shared" si="60"/>
        <v>43451</v>
      </c>
      <c r="Q792" s="937">
        <f t="shared" si="59"/>
        <v>43451</v>
      </c>
      <c r="R792" s="940" t="s">
        <v>2633</v>
      </c>
      <c r="S792" s="943" t="s">
        <v>2096</v>
      </c>
      <c r="T792" s="943"/>
      <c r="U792" s="936"/>
    </row>
    <row r="793" spans="1:21" ht="25.5" hidden="1">
      <c r="A793" s="936" t="s">
        <v>2479</v>
      </c>
      <c r="B793" s="937">
        <v>43451</v>
      </c>
      <c r="C793" s="936">
        <v>1</v>
      </c>
      <c r="D793" s="936">
        <v>4</v>
      </c>
      <c r="E793" s="945" t="s">
        <v>950</v>
      </c>
      <c r="F793" s="945"/>
      <c r="G793" s="1035" t="s">
        <v>2634</v>
      </c>
      <c r="H793" s="939"/>
      <c r="I793" s="939" t="s">
        <v>550</v>
      </c>
      <c r="J793" s="939"/>
      <c r="K793" s="939"/>
      <c r="L793" s="939"/>
      <c r="M793" s="1035" t="s">
        <v>2632</v>
      </c>
      <c r="N793" s="1035" t="s">
        <v>2527</v>
      </c>
      <c r="O793" s="939" t="s">
        <v>76</v>
      </c>
      <c r="P793" s="937">
        <f t="shared" si="60"/>
        <v>43451</v>
      </c>
      <c r="Q793" s="937">
        <f t="shared" si="59"/>
        <v>43451</v>
      </c>
      <c r="R793" s="940" t="s">
        <v>2633</v>
      </c>
      <c r="S793" s="943" t="s">
        <v>2096</v>
      </c>
      <c r="T793" s="943"/>
      <c r="U793" s="936"/>
    </row>
    <row r="794" spans="1:21" hidden="1">
      <c r="A794" s="936" t="s">
        <v>2479</v>
      </c>
      <c r="B794" s="937">
        <v>43451</v>
      </c>
      <c r="C794" s="936">
        <v>1</v>
      </c>
      <c r="D794" s="936">
        <v>4</v>
      </c>
      <c r="E794" s="945" t="s">
        <v>956</v>
      </c>
      <c r="F794" s="945"/>
      <c r="G794" s="1035" t="s">
        <v>2635</v>
      </c>
      <c r="H794" s="939"/>
      <c r="I794" s="939" t="s">
        <v>550</v>
      </c>
      <c r="J794" s="939"/>
      <c r="K794" s="939"/>
      <c r="L794" s="939"/>
      <c r="M794" s="1035" t="s">
        <v>2636</v>
      </c>
      <c r="N794" s="1035" t="s">
        <v>2527</v>
      </c>
      <c r="O794" s="939" t="s">
        <v>76</v>
      </c>
      <c r="P794" s="937">
        <f t="shared" si="60"/>
        <v>43451</v>
      </c>
      <c r="Q794" s="937">
        <f t="shared" si="59"/>
        <v>43451</v>
      </c>
      <c r="R794" s="940" t="s">
        <v>2633</v>
      </c>
      <c r="S794" s="943" t="s">
        <v>2101</v>
      </c>
      <c r="T794" s="943"/>
      <c r="U794" s="936"/>
    </row>
    <row r="795" spans="1:21" hidden="1">
      <c r="A795" s="936" t="s">
        <v>2479</v>
      </c>
      <c r="B795" s="937">
        <v>43451</v>
      </c>
      <c r="C795" s="936">
        <v>1</v>
      </c>
      <c r="D795" s="936">
        <v>5</v>
      </c>
      <c r="E795" s="945" t="s">
        <v>953</v>
      </c>
      <c r="F795" s="945"/>
      <c r="G795" s="1035" t="s">
        <v>2507</v>
      </c>
      <c r="H795" s="939"/>
      <c r="I795" s="939" t="s">
        <v>550</v>
      </c>
      <c r="J795" s="939"/>
      <c r="K795" s="939"/>
      <c r="L795" s="939"/>
      <c r="M795" s="1035" t="s">
        <v>2636</v>
      </c>
      <c r="N795" s="1035" t="s">
        <v>2527</v>
      </c>
      <c r="O795" s="939" t="s">
        <v>76</v>
      </c>
      <c r="P795" s="937">
        <f t="shared" si="60"/>
        <v>43451</v>
      </c>
      <c r="Q795" s="937">
        <f t="shared" si="59"/>
        <v>43451</v>
      </c>
      <c r="R795" s="940" t="s">
        <v>2633</v>
      </c>
      <c r="S795" s="943" t="s">
        <v>2099</v>
      </c>
      <c r="T795" s="943"/>
      <c r="U795" s="936"/>
    </row>
    <row r="796" spans="1:21">
      <c r="E796" s="1561"/>
      <c r="G796" s="1200"/>
      <c r="T796" s="1750"/>
    </row>
    <row r="797" spans="1:21">
      <c r="G797" s="1200"/>
      <c r="T797" s="1750"/>
    </row>
    <row r="798" spans="1:21">
      <c r="G798" s="1200"/>
      <c r="T798" s="1750"/>
    </row>
    <row r="799" spans="1:21">
      <c r="G799" s="1200"/>
      <c r="T799" s="1750"/>
    </row>
    <row r="800" spans="1:21">
      <c r="G800" s="1200"/>
      <c r="T800" s="1750"/>
    </row>
    <row r="801" spans="7:20">
      <c r="G801" s="1200"/>
      <c r="T801" s="1750"/>
    </row>
    <row r="802" spans="7:20">
      <c r="G802" s="1200"/>
      <c r="T802" s="1750"/>
    </row>
    <row r="803" spans="7:20">
      <c r="G803" s="1200"/>
      <c r="T803" s="1750"/>
    </row>
    <row r="804" spans="7:20">
      <c r="G804" s="1200"/>
      <c r="T804" s="1750"/>
    </row>
    <row r="805" spans="7:20">
      <c r="G805" s="1200"/>
      <c r="T805" s="1750"/>
    </row>
    <row r="806" spans="7:20">
      <c r="G806" s="1200"/>
      <c r="T806" s="1750"/>
    </row>
    <row r="807" spans="7:20">
      <c r="G807" s="1200"/>
      <c r="T807" s="1750"/>
    </row>
    <row r="808" spans="7:20">
      <c r="G808" s="1200"/>
      <c r="T808" s="1750"/>
    </row>
    <row r="809" spans="7:20">
      <c r="G809" s="1200"/>
      <c r="T809" s="1750"/>
    </row>
    <row r="810" spans="7:20">
      <c r="G810" s="1200"/>
      <c r="T810" s="1750"/>
    </row>
    <row r="811" spans="7:20">
      <c r="G811" s="1200"/>
      <c r="T811" s="1750"/>
    </row>
    <row r="812" spans="7:20">
      <c r="G812" s="1200"/>
      <c r="T812" s="1750"/>
    </row>
    <row r="813" spans="7:20">
      <c r="G813" s="1200"/>
      <c r="T813" s="1750"/>
    </row>
    <row r="814" spans="7:20">
      <c r="G814" s="1200"/>
      <c r="T814" s="1750"/>
    </row>
    <row r="815" spans="7:20">
      <c r="G815" s="1200"/>
      <c r="T815" s="1750"/>
    </row>
    <row r="816" spans="7:20">
      <c r="G816" s="1200"/>
      <c r="T816" s="1750"/>
    </row>
    <row r="817" spans="7:20">
      <c r="G817" s="1200"/>
      <c r="T817" s="1750"/>
    </row>
    <row r="818" spans="7:20">
      <c r="G818" s="1200"/>
      <c r="T818" s="1750"/>
    </row>
    <row r="819" spans="7:20">
      <c r="G819" s="1200"/>
      <c r="T819" s="1750"/>
    </row>
    <row r="820" spans="7:20">
      <c r="G820" s="1200"/>
      <c r="T820" s="1750"/>
    </row>
    <row r="821" spans="7:20">
      <c r="G821" s="1200"/>
      <c r="T821" s="1750"/>
    </row>
    <row r="822" spans="7:20">
      <c r="G822" s="1200"/>
      <c r="T822" s="1750"/>
    </row>
    <row r="823" spans="7:20">
      <c r="G823" s="1200"/>
      <c r="T823" s="1750"/>
    </row>
    <row r="824" spans="7:20">
      <c r="G824" s="1200"/>
      <c r="T824" s="1750"/>
    </row>
    <row r="825" spans="7:20">
      <c r="G825" s="1200"/>
      <c r="T825" s="1750"/>
    </row>
    <row r="826" spans="7:20">
      <c r="G826" s="1200"/>
      <c r="T826" s="1750"/>
    </row>
    <row r="827" spans="7:20">
      <c r="G827" s="1200"/>
      <c r="T827" s="1750"/>
    </row>
    <row r="828" spans="7:20">
      <c r="G828" s="1200"/>
      <c r="T828" s="1750"/>
    </row>
    <row r="829" spans="7:20">
      <c r="G829" s="1200"/>
      <c r="T829" s="1750"/>
    </row>
    <row r="830" spans="7:20">
      <c r="G830" s="1200"/>
      <c r="T830" s="1750"/>
    </row>
    <row r="831" spans="7:20">
      <c r="G831" s="1200"/>
      <c r="T831" s="1750"/>
    </row>
    <row r="832" spans="7:20">
      <c r="G832" s="1200"/>
      <c r="T832" s="1750"/>
    </row>
    <row r="833" spans="7:20">
      <c r="G833" s="1200"/>
      <c r="T833" s="1750"/>
    </row>
    <row r="834" spans="7:20">
      <c r="G834" s="1200"/>
      <c r="T834" s="1750"/>
    </row>
    <row r="835" spans="7:20">
      <c r="G835" s="1200"/>
      <c r="T835" s="1750"/>
    </row>
    <row r="836" spans="7:20">
      <c r="G836" s="1200"/>
      <c r="T836" s="1750"/>
    </row>
    <row r="837" spans="7:20">
      <c r="G837" s="1200"/>
      <c r="T837" s="1750"/>
    </row>
    <row r="838" spans="7:20">
      <c r="G838" s="1200"/>
      <c r="T838" s="1750"/>
    </row>
    <row r="839" spans="7:20">
      <c r="G839" s="1200"/>
      <c r="T839" s="1750"/>
    </row>
    <row r="840" spans="7:20">
      <c r="G840" s="1200"/>
      <c r="T840" s="1750"/>
    </row>
    <row r="841" spans="7:20">
      <c r="G841" s="1200"/>
      <c r="T841" s="1750"/>
    </row>
    <row r="842" spans="7:20">
      <c r="G842" s="1200"/>
      <c r="T842" s="1750"/>
    </row>
    <row r="843" spans="7:20">
      <c r="G843" s="1200"/>
      <c r="T843" s="1750"/>
    </row>
    <row r="844" spans="7:20">
      <c r="G844" s="1200"/>
      <c r="T844" s="1750"/>
    </row>
    <row r="845" spans="7:20">
      <c r="G845" s="1200"/>
      <c r="T845" s="1750"/>
    </row>
    <row r="846" spans="7:20">
      <c r="G846" s="1200"/>
      <c r="T846" s="1750"/>
    </row>
    <row r="847" spans="7:20">
      <c r="G847" s="1200"/>
      <c r="T847" s="1750"/>
    </row>
    <row r="848" spans="7:20">
      <c r="G848" s="1200"/>
      <c r="T848" s="1750"/>
    </row>
    <row r="849" spans="7:20">
      <c r="G849" s="1200"/>
      <c r="T849" s="1750"/>
    </row>
    <row r="850" spans="7:20">
      <c r="G850" s="1200"/>
      <c r="T850" s="1750"/>
    </row>
    <row r="851" spans="7:20">
      <c r="G851" s="1200"/>
      <c r="T851" s="1750"/>
    </row>
    <row r="852" spans="7:20">
      <c r="G852" s="1200"/>
      <c r="T852" s="1750"/>
    </row>
    <row r="853" spans="7:20">
      <c r="G853" s="1200"/>
      <c r="T853" s="1750"/>
    </row>
    <row r="854" spans="7:20">
      <c r="G854" s="1200"/>
      <c r="T854" s="1750"/>
    </row>
    <row r="855" spans="7:20">
      <c r="G855" s="1200"/>
      <c r="T855" s="1750"/>
    </row>
    <row r="856" spans="7:20">
      <c r="G856" s="1200"/>
      <c r="T856" s="1750"/>
    </row>
    <row r="857" spans="7:20">
      <c r="G857" s="1200"/>
      <c r="T857" s="1750"/>
    </row>
    <row r="858" spans="7:20">
      <c r="G858" s="1200"/>
      <c r="T858" s="1750"/>
    </row>
    <row r="859" spans="7:20">
      <c r="G859" s="1200"/>
      <c r="T859" s="1750"/>
    </row>
    <row r="860" spans="7:20">
      <c r="G860" s="1200"/>
      <c r="T860" s="1750"/>
    </row>
    <row r="861" spans="7:20">
      <c r="G861" s="1200"/>
      <c r="T861" s="1750"/>
    </row>
    <row r="862" spans="7:20">
      <c r="G862" s="1200"/>
      <c r="T862" s="1750"/>
    </row>
    <row r="863" spans="7:20">
      <c r="G863" s="1200"/>
      <c r="T863" s="948"/>
    </row>
    <row r="864" spans="7:20">
      <c r="G864" s="1200"/>
      <c r="T864" s="948"/>
    </row>
    <row r="865" spans="7:20">
      <c r="G865" s="1200"/>
      <c r="T865" s="948"/>
    </row>
    <row r="866" spans="7:20">
      <c r="G866" s="1200"/>
      <c r="T866" s="948"/>
    </row>
    <row r="867" spans="7:20">
      <c r="G867" s="1200"/>
      <c r="T867" s="948"/>
    </row>
    <row r="868" spans="7:20">
      <c r="G868" s="1200"/>
      <c r="T868" s="948"/>
    </row>
    <row r="869" spans="7:20">
      <c r="G869" s="1200"/>
      <c r="T869" s="948"/>
    </row>
    <row r="870" spans="7:20">
      <c r="G870" s="1200"/>
      <c r="T870" s="948"/>
    </row>
    <row r="871" spans="7:20">
      <c r="G871" s="1200"/>
      <c r="T871" s="948"/>
    </row>
    <row r="872" spans="7:20">
      <c r="G872" s="1200"/>
      <c r="T872" s="948"/>
    </row>
    <row r="873" spans="7:20">
      <c r="G873" s="1200"/>
      <c r="T873" s="948"/>
    </row>
    <row r="874" spans="7:20">
      <c r="G874" s="1200"/>
      <c r="T874" s="948"/>
    </row>
    <row r="875" spans="7:20">
      <c r="G875" s="1200"/>
      <c r="T875" s="948"/>
    </row>
    <row r="876" spans="7:20">
      <c r="G876" s="1200"/>
      <c r="T876" s="948"/>
    </row>
    <row r="877" spans="7:20">
      <c r="G877" s="1200"/>
      <c r="T877" s="948"/>
    </row>
    <row r="878" spans="7:20">
      <c r="G878" s="1200"/>
      <c r="T878" s="948"/>
    </row>
    <row r="879" spans="7:20">
      <c r="G879" s="1200"/>
      <c r="T879" s="948"/>
    </row>
    <row r="880" spans="7:20">
      <c r="G880" s="1200"/>
      <c r="T880" s="948"/>
    </row>
    <row r="881" spans="7:20">
      <c r="G881" s="1200"/>
      <c r="T881" s="948"/>
    </row>
    <row r="882" spans="7:20">
      <c r="G882" s="1200"/>
      <c r="T882" s="948"/>
    </row>
    <row r="883" spans="7:20">
      <c r="G883" s="1200"/>
      <c r="T883" s="948"/>
    </row>
    <row r="884" spans="7:20">
      <c r="G884" s="1200"/>
      <c r="T884" s="948"/>
    </row>
    <row r="885" spans="7:20">
      <c r="G885" s="1200"/>
      <c r="T885" s="948"/>
    </row>
    <row r="886" spans="7:20">
      <c r="G886" s="1200"/>
      <c r="T886" s="948"/>
    </row>
    <row r="887" spans="7:20">
      <c r="G887" s="1200"/>
      <c r="T887" s="948"/>
    </row>
    <row r="888" spans="7:20">
      <c r="G888" s="1200"/>
    </row>
    <row r="889" spans="7:20">
      <c r="G889" s="1200"/>
    </row>
    <row r="890" spans="7:20">
      <c r="G890" s="1200"/>
    </row>
    <row r="891" spans="7:20">
      <c r="G891" s="1200"/>
    </row>
    <row r="892" spans="7:20">
      <c r="G892" s="1200"/>
    </row>
    <row r="893" spans="7:20">
      <c r="G893" s="1200"/>
    </row>
    <row r="894" spans="7:20">
      <c r="G894" s="1200"/>
    </row>
    <row r="895" spans="7:20">
      <c r="G895" s="1200"/>
    </row>
    <row r="896" spans="7:20">
      <c r="G896" s="1200"/>
    </row>
    <row r="897" spans="7:7">
      <c r="G897" s="1200"/>
    </row>
    <row r="898" spans="7:7">
      <c r="G898" s="1200"/>
    </row>
    <row r="899" spans="7:7">
      <c r="G899" s="1200"/>
    </row>
    <row r="900" spans="7:7">
      <c r="G900" s="1200"/>
    </row>
    <row r="901" spans="7:7">
      <c r="G901" s="1200"/>
    </row>
    <row r="902" spans="7:7">
      <c r="G902" s="1200"/>
    </row>
    <row r="903" spans="7:7">
      <c r="G903" s="1200"/>
    </row>
    <row r="904" spans="7:7">
      <c r="G904" s="1200"/>
    </row>
    <row r="905" spans="7:7">
      <c r="G905" s="1200"/>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2725</v>
      </c>
      <c r="D2" s="916"/>
      <c r="E2" s="917"/>
      <c r="I2" s="915" t="s">
        <v>2726</v>
      </c>
      <c r="J2" s="916"/>
      <c r="K2" s="917"/>
      <c r="O2" s="915" t="s">
        <v>7</v>
      </c>
      <c r="P2" s="916"/>
      <c r="Q2" s="917"/>
      <c r="T2" s="1299" t="s">
        <v>3640</v>
      </c>
      <c r="U2" s="1300"/>
      <c r="W2" s="1299" t="s">
        <v>3641</v>
      </c>
      <c r="X2" s="1300"/>
    </row>
    <row r="4" spans="1:24">
      <c r="A4" s="1595">
        <f>OBRA!S636</f>
        <v>98067.87</v>
      </c>
      <c r="C4" s="107">
        <f>100*A4/116</f>
        <v>84541.267241379304</v>
      </c>
      <c r="E4">
        <v>84541.27</v>
      </c>
      <c r="I4" s="905"/>
      <c r="O4" s="280">
        <f>OBRA!AS400</f>
        <v>392737.05000000005</v>
      </c>
      <c r="T4" t="s">
        <v>3642</v>
      </c>
      <c r="W4" t="s">
        <v>3642</v>
      </c>
    </row>
    <row r="5" spans="1:24">
      <c r="A5" s="1595">
        <f>OBRA!S637</f>
        <v>160513.82999999999</v>
      </c>
      <c r="C5" s="107">
        <f t="shared" ref="C5:C41" si="0">100*A5/116</f>
        <v>138373.99137931032</v>
      </c>
      <c r="E5">
        <v>138373.99</v>
      </c>
      <c r="I5" s="570"/>
      <c r="K5">
        <v>230583.34</v>
      </c>
      <c r="O5" s="280">
        <f>OBRA!AS401</f>
        <v>43579.32</v>
      </c>
      <c r="Q5">
        <v>43579.32</v>
      </c>
    </row>
    <row r="6" spans="1:24">
      <c r="A6" s="1595">
        <f>OBRA!S638</f>
        <v>236056.39</v>
      </c>
      <c r="C6" s="107">
        <f t="shared" si="0"/>
        <v>203496.88793103449</v>
      </c>
      <c r="E6">
        <v>203496.89</v>
      </c>
      <c r="I6" s="570"/>
      <c r="K6">
        <v>104942</v>
      </c>
      <c r="O6" s="280">
        <f>OBRA!AS403</f>
        <v>20988.400000000001</v>
      </c>
      <c r="Q6">
        <v>20988.400000000001</v>
      </c>
      <c r="T6">
        <v>389879</v>
      </c>
      <c r="U6" t="s">
        <v>3649</v>
      </c>
      <c r="W6">
        <v>389885</v>
      </c>
      <c r="X6" t="s">
        <v>3643</v>
      </c>
    </row>
    <row r="7" spans="1:24">
      <c r="A7" s="1595">
        <f>OBRA!S639</f>
        <v>2031883.8</v>
      </c>
      <c r="C7" s="107">
        <f t="shared" si="0"/>
        <v>1751623.9655172413</v>
      </c>
      <c r="E7">
        <v>1751623.97</v>
      </c>
      <c r="I7" s="570"/>
      <c r="K7">
        <v>132810.69</v>
      </c>
      <c r="O7" s="280">
        <f>OBRA!AS404</f>
        <v>52536.350000000006</v>
      </c>
      <c r="Q7">
        <v>52536.35</v>
      </c>
      <c r="T7">
        <v>389864</v>
      </c>
      <c r="U7" t="s">
        <v>3650</v>
      </c>
      <c r="W7">
        <v>389914</v>
      </c>
      <c r="X7" t="s">
        <v>3644</v>
      </c>
    </row>
    <row r="8" spans="1:24">
      <c r="A8" s="1595">
        <f>OBRA!S640</f>
        <v>793754.52</v>
      </c>
      <c r="C8" s="107">
        <f t="shared" si="0"/>
        <v>684271.13793103443</v>
      </c>
      <c r="E8">
        <v>684271.14</v>
      </c>
      <c r="I8" s="905"/>
      <c r="O8" s="280"/>
      <c r="T8">
        <v>389876</v>
      </c>
      <c r="U8" t="s">
        <v>3651</v>
      </c>
      <c r="W8">
        <v>389915</v>
      </c>
      <c r="X8" t="s">
        <v>3645</v>
      </c>
    </row>
    <row r="9" spans="1:24">
      <c r="A9" s="1595">
        <f>OBRA!S641</f>
        <v>579637.71</v>
      </c>
      <c r="C9" s="107">
        <f t="shared" si="0"/>
        <v>499687.68103448278</v>
      </c>
      <c r="E9">
        <v>499687.67999999999</v>
      </c>
      <c r="I9" s="905"/>
      <c r="O9" s="280"/>
      <c r="W9">
        <v>389916</v>
      </c>
      <c r="X9" t="s">
        <v>3646</v>
      </c>
    </row>
    <row r="10" spans="1:24">
      <c r="A10" s="1595">
        <f>OBRA!S642</f>
        <v>627108.43000000005</v>
      </c>
      <c r="C10" s="107">
        <f t="shared" si="0"/>
        <v>540610.71551724139</v>
      </c>
      <c r="I10" s="905"/>
      <c r="O10" s="280"/>
      <c r="W10">
        <v>389917</v>
      </c>
      <c r="X10" t="s">
        <v>1413</v>
      </c>
    </row>
    <row r="11" spans="1:24">
      <c r="A11" s="1595">
        <f>OBRA!S643</f>
        <v>168470.35</v>
      </c>
      <c r="C11" s="107">
        <f t="shared" si="0"/>
        <v>145233.06034482759</v>
      </c>
      <c r="I11" s="905"/>
      <c r="O11" s="280"/>
      <c r="W11">
        <v>389918</v>
      </c>
      <c r="X11" t="s">
        <v>3647</v>
      </c>
    </row>
    <row r="12" spans="1:24">
      <c r="A12" s="1595">
        <f>OBRA!S644</f>
        <v>809084.8</v>
      </c>
      <c r="C12" s="107">
        <f t="shared" si="0"/>
        <v>697486.89655172417</v>
      </c>
      <c r="I12" s="905"/>
      <c r="O12" s="280"/>
    </row>
    <row r="13" spans="1:24">
      <c r="A13" s="1595">
        <f>OBRA!S645</f>
        <v>1697255.04</v>
      </c>
      <c r="C13" s="107">
        <f t="shared" si="0"/>
        <v>1463150.8965517241</v>
      </c>
      <c r="I13" s="174"/>
      <c r="N13" s="723"/>
      <c r="O13" s="280"/>
    </row>
    <row r="14" spans="1:24">
      <c r="A14" s="1595">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ADMININSTRACIÓN DIR - OBRA</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'ADMININSTRACIÓN DIR - OBRA'!Área_de_impresión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2025-03-26T21:21:25Z</cp:lastPrinted>
  <dcterms:created xsi:type="dcterms:W3CDTF">2014-02-06T17:49:32Z</dcterms:created>
  <dcterms:modified xsi:type="dcterms:W3CDTF">2025-05-16T20:03:14Z</dcterms:modified>
  <cp:category/>
  <cp:contentStatus/>
</cp:coreProperties>
</file>